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CJA Allocation Worksheet 2021" sheetId="1" r:id="rId1"/>
    <sheet name="OK Rt Chg Alloc Wksht 2021" sheetId="2" r:id="rId2"/>
  </sheet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c" localSheetId="1">#REF!</definedName>
    <definedName name="\c" localSheetId="0">#REF!</definedName>
    <definedName name="\c">#REF!</definedName>
    <definedName name="\e">#REF!</definedName>
    <definedName name="\p" localSheetId="1">#REF!</definedName>
    <definedName name="\p" localSheetId="0">#REF!</definedName>
    <definedName name="\p">#REF!</definedName>
    <definedName name="\s" localSheetId="1">#REF!</definedName>
    <definedName name="\s" localSheetId="0">#REF!</definedName>
    <definedName name="\s">#REF!</definedName>
    <definedName name="____WSH7" localSheetId="1">#REF!</definedName>
    <definedName name="____WSH7" localSheetId="0">#REF!</definedName>
    <definedName name="____WSH7">#REF!</definedName>
    <definedName name="___INDEX_SHEET___ASAP_Utilities" localSheetId="1">#REF!</definedName>
    <definedName name="___INDEX_SHEET___ASAP_Utilities" localSheetId="0">#REF!</definedName>
    <definedName name="___INDEX_SHEET___ASAP_Utilities">#REF!</definedName>
    <definedName name="___WSH7" localSheetId="1">#REF!</definedName>
    <definedName name="___WSH7" localSheetId="0">#REF!</definedName>
    <definedName name="___WSH7">#REF!</definedName>
    <definedName name="__WSH7" localSheetId="1">#REF!</definedName>
    <definedName name="__WSH7" localSheetId="0">#REF!</definedName>
    <definedName name="__WSH7">#REF!</definedName>
    <definedName name="_AMO_UniqueIdentifier" hidden="1">"'8403d099-e876-4d31-b913-cb2efff0232f'"</definedName>
    <definedName name="_Fill" hidden="1">#REF!</definedName>
    <definedName name="_JE19" localSheetId="1">#REF!</definedName>
    <definedName name="_JE19" localSheetId="0">#REF!</definedName>
    <definedName name="_JE19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localSheetId="1">0</definedName>
    <definedName name="_Order1" localSheetId="0">0</definedName>
    <definedName name="_Order1" hidden="1">255</definedName>
    <definedName name="_Order2" hidden="1">255</definedName>
    <definedName name="_p.choice" localSheetId="1">#REF!</definedName>
    <definedName name="_p.choice" localSheetId="0">#REF!</definedName>
    <definedName name="_p.choice">#REF!</definedName>
    <definedName name="_Parse_Out" localSheetId="1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WPH7" localSheetId="1">#REF!</definedName>
    <definedName name="_WPH7" localSheetId="0">#REF!</definedName>
    <definedName name="_WPH7">#REF!</definedName>
    <definedName name="_WPL12">#REF!</definedName>
    <definedName name="_WSH7" localSheetId="1">#REF!</definedName>
    <definedName name="_WSH7" localSheetId="0">#REF!</definedName>
    <definedName name="_WSH7">#REF!</definedName>
    <definedName name="a" localSheetId="1" hidden="1">{"MATALL",#N/A,FALSE,"Sheet4";"matclass",#N/A,FALSE,"Sheet4"}</definedName>
    <definedName name="a" localSheetId="0" hidden="1">{"MATALL",#N/A,FALSE,"Sheet4";"matclass",#N/A,FALSE,"Sheet4"}</definedName>
    <definedName name="a" hidden="1">{"MATALL",#N/A,FALSE,"Sheet4";"matclass",#N/A,FALSE,"Sheet4"}</definedName>
    <definedName name="AB.print" localSheetId="1">#REF!</definedName>
    <definedName name="AB.print" localSheetId="0">#REF!</definedName>
    <definedName name="AB.print">#REF!</definedName>
    <definedName name="ACwvu.OP." localSheetId="1" hidden="1">#REF!</definedName>
    <definedName name="ACwvu.OP." localSheetId="0" hidden="1">#REF!</definedName>
    <definedName name="ACwvu.OP." hidden="1">#REF!</definedName>
    <definedName name="AED_10_by_Class">#REF!</definedName>
    <definedName name="AED_10_by_Service_Level">#REF!</definedName>
    <definedName name="AED_10_Input">#REF!</definedName>
    <definedName name="AED_by_Class">#REF!</definedName>
    <definedName name="AED_by_Service_Level">#REF!</definedName>
    <definedName name="AED_Input">#REF!</definedName>
    <definedName name="Alloc02" localSheetId="1">#REF!</definedName>
    <definedName name="Alloc02" localSheetId="0">#REF!</definedName>
    <definedName name="Alloc02">#REF!</definedName>
    <definedName name="Alloc03" localSheetId="1">#REF!</definedName>
    <definedName name="Alloc03" localSheetId="0">#REF!</definedName>
    <definedName name="Alloc03">#REF!</definedName>
    <definedName name="AllocTY" localSheetId="1">#REF!</definedName>
    <definedName name="AllocTY" localSheetId="0">#REF!</definedName>
    <definedName name="AllocTY">#REF!</definedName>
    <definedName name="ARK" localSheetId="1">#REF!</definedName>
    <definedName name="ARK" localSheetId="0">#REF!</definedName>
    <definedName name="ARK">#REF!</definedName>
    <definedName name="ARK_" localSheetId="1">#REF!</definedName>
    <definedName name="ARK_" localSheetId="0">#REF!</definedName>
    <definedName name="ARK_">#REF!</definedName>
    <definedName name="Arkansas" localSheetId="1">#REF!</definedName>
    <definedName name="Arkansas" localSheetId="0">#REF!</definedName>
    <definedName name="Arkansas">#REF!</definedName>
    <definedName name="ARKDETAIL" localSheetId="1">#REF!</definedName>
    <definedName name="ARKDETAIL" localSheetId="0">#REF!</definedName>
    <definedName name="ARKDETAIL">#REF!</definedName>
    <definedName name="ARKHEAD" localSheetId="1">#REF!</definedName>
    <definedName name="ARKHEAD" localSheetId="0">#REF!</definedName>
    <definedName name="ARKHEAD">#REF!</definedName>
    <definedName name="AS2DocOpenMode" hidden="1">"AS2DocumentEdit"</definedName>
    <definedName name="AV.FM.1.print" localSheetId="1">#REF!</definedName>
    <definedName name="AV.FM.1.print" localSheetId="0">#REF!</definedName>
    <definedName name="AV.FM.1.print">#REF!</definedName>
    <definedName name="BA.print" localSheetId="1">#REF!</definedName>
    <definedName name="BA.print" localSheetId="0">#REF!</definedName>
    <definedName name="BA.print">#REF!</definedName>
    <definedName name="BB.print" localSheetId="1">#REF!</definedName>
    <definedName name="BB.print" localSheetId="0">#REF!</definedName>
    <definedName name="BB.print">#REF!</definedName>
    <definedName name="BG.print" localSheetId="1">#REF!</definedName>
    <definedName name="BG.print" localSheetId="0">#REF!</definedName>
    <definedName name="BG.print">#REF!</definedName>
    <definedName name="BK..FM1.Adjusted..print" localSheetId="1">#REF!</definedName>
    <definedName name="BK..FM1.Adjusted..print" localSheetId="0">#REF!</definedName>
    <definedName name="BK..FM1.Adjusted..print">#REF!</definedName>
    <definedName name="BK..FM1.ROR..print" localSheetId="1">#REF!</definedName>
    <definedName name="BK..FM1.ROR..print" localSheetId="0">#REF!</definedName>
    <definedName name="BK..FM1.ROR..print">#REF!</definedName>
    <definedName name="Blank" localSheetId="1" hidden="1">{"ARK_JURIS_FUEL",#N/A,FALSE,"Ark_Fuel&amp;Rev"}</definedName>
    <definedName name="Blank" localSheetId="0" hidden="1">{"ARK_JURIS_FUEL",#N/A,FALSE,"Ark_Fuel&amp;Rev"}</definedName>
    <definedName name="Blank" hidden="1">{"ARK_JURIS_FUEL",#N/A,FALSE,"Ark_Fuel&amp;Rev"}</definedName>
    <definedName name="CALC" localSheetId="1">#REF!</definedName>
    <definedName name="CALC" localSheetId="0">#REF!</definedName>
    <definedName name="CALC">#REF!</definedName>
    <definedName name="Calculation_of_Ok_Juris_Cost_of_Fuel">#REF!</definedName>
    <definedName name="CapAlloc" localSheetId="1">#REF!</definedName>
    <definedName name="CapAlloc" localSheetId="0">#REF!</definedName>
    <definedName name="CapAlloc">#REF!</definedName>
    <definedName name="Carry_Forward_DR">#REF!</definedName>
    <definedName name="Case_Name">#REF!</definedName>
    <definedName name="Case_Number">#REF!</definedName>
    <definedName name="Case_Year">#REF!</definedName>
    <definedName name="CE">#REF!</definedName>
    <definedName name="CoCode0100" localSheetId="1">#REF!</definedName>
    <definedName name="CoCode0100" localSheetId="0">#REF!</definedName>
    <definedName name="CoCode0100">#REF!</definedName>
    <definedName name="CoCode0200" localSheetId="1">#REF!</definedName>
    <definedName name="CoCode0200" localSheetId="0">#REF!</definedName>
    <definedName name="CoCode0200">#REF!</definedName>
    <definedName name="CoCode0400" localSheetId="1">#REF!</definedName>
    <definedName name="CoCode0400" localSheetId="0">#REF!</definedName>
    <definedName name="CoCode0400">#REF!</definedName>
    <definedName name="CoCode0500" localSheetId="1">#REF!</definedName>
    <definedName name="CoCode0500" localSheetId="0">#REF!</definedName>
    <definedName name="CoCode0500">#REF!</definedName>
    <definedName name="COM" localSheetId="1">#REF!</definedName>
    <definedName name="COM" localSheetId="0">#REF!</definedName>
    <definedName name="COM">#REF!</definedName>
    <definedName name="COMMERC" localSheetId="1">#REF!</definedName>
    <definedName name="COMMERC" localSheetId="0">#REF!</definedName>
    <definedName name="COMMERC">#REF!</definedName>
    <definedName name="Comparison_of_Fuel_Okla_Juris">#REF!</definedName>
    <definedName name="COMPUTE" localSheetId="1">#REF!</definedName>
    <definedName name="COMPUTE" localSheetId="0">#REF!</definedName>
    <definedName name="COMPUTE">#REF!</definedName>
    <definedName name="CONOCO_FAC" localSheetId="1">#REF!</definedName>
    <definedName name="CONOCO_FAC" localSheetId="0">#REF!</definedName>
    <definedName name="CONOCO_FAC">#REF!</definedName>
    <definedName name="CONSOL">#REF!</definedName>
    <definedName name="CONSOLGAAP">#REF!</definedName>
    <definedName name="CP_10_Highest_by_Class">#REF!</definedName>
    <definedName name="CP_10_Highest_by_Service_Level">#REF!</definedName>
    <definedName name="CP_10_Highest_Input">#REF!</definedName>
    <definedName name="cp_by_group" localSheetId="1">#REF!</definedName>
    <definedName name="cp_by_group" localSheetId="0">#REF!</definedName>
    <definedName name="cp_by_group">#REF!</definedName>
    <definedName name="cp_by_serv_level" localSheetId="1">#REF!</definedName>
    <definedName name="cp_by_serv_level" localSheetId="0">#REF!</definedName>
    <definedName name="cp_by_serv_level">#REF!</definedName>
    <definedName name="cp_input_area" localSheetId="1">#REF!</definedName>
    <definedName name="cp_input_area" localSheetId="0">#REF!</definedName>
    <definedName name="cp_input_area">#REF!</definedName>
    <definedName name="Crrying_Charge_Rate">#REF!</definedName>
    <definedName name="CURRENTGAAP">#REF!</definedName>
    <definedName name="Data_for_Above_Calculations">#REF!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ADDATA">#REF!</definedName>
    <definedName name="Depreciationtable">#REF!</definedName>
    <definedName name="distr" localSheetId="1" hidden="1">{"wp_h4.2",#N/A,FALSE,"WP_H4.2";"wp_h4.3",#N/A,FALSE,"WP_H4.3"}</definedName>
    <definedName name="distr" hidden="1">{"wp_h4.2",#N/A,FALSE,"WP_H4.2";"wp_h4.3",#N/A,FALSE,"WP_H4.3"}</definedName>
    <definedName name="dsfds" localSheetId="1" hidden="1">#REF!</definedName>
    <definedName name="dsfds" localSheetId="0" hidden="1">#REF!</definedName>
    <definedName name="dsfds" hidden="1">#REF!</definedName>
    <definedName name="EIGHT" localSheetId="1">#REF!</definedName>
    <definedName name="EIGHT" localSheetId="0">#REF!</definedName>
    <definedName name="EIGHT">#REF!</definedName>
    <definedName name="ENTER">#REF!</definedName>
    <definedName name="EPHEAD" localSheetId="1">#REF!</definedName>
    <definedName name="EPHEAD" localSheetId="0">#REF!</definedName>
    <definedName name="EPHEAD">#REF!</definedName>
    <definedName name="EPMWorkbookOptions_1" hidden="1">"SUgAAB|LCAAAAAAABADtnGFvqjwUx9/f5H4H43sFRJ0uzhtEVO6DlABud1mWBrVu5CrwFDa3b/8U1AmKzu1xiwhvFtJzelp|nPZP62jj18tsmntG2DVt6yrPFOl8Dlkje2xaD1f5J29SYKr5X82fPxo3Nv47tO2/wPGIq5sj9Sz38sU1r/KPnudcUtR8Pi/O2aKNH6gSTTPUn76kjR7RzCiYlusZ1gjl32qN36|VJ63mcg3etiw08tvUbf4JY2R"</definedName>
    <definedName name="EPMWorkbookOptions_2" hidden="1">"51yaaB8aIuW14xrKUlMvGDC1ae2vJQzPnCZtBUwMXYQWjCSLxRqhIOpRvwo7Shy2Fl28YGt4tK7mG44wYXBzZ2CnaD4hczPxCauiMqHt4B7oC|dsRZU7m/auJMXXRfYPy21/3hnOcqTkyQuQO7tUqRjRKqHh5s81lHzaaXkBac8tRO009czxGVtucIcsNOrrbdd1JN|JDvLRHe/4Wg7enNm56|Ak1qBjDvqrBXcTU3Lq7ZUWSCB568TrGs41Nj/"</definedName>
    <definedName name="EPMWorkbookOptions_3" hidden="1">"QreBKLylu2A|p3TOx6oQ7E2zcCvfVyN6BDvcJ|A8v89wkFd87xungt6rdQv1XIs45z2RdpwZ0M6grNsDUmFCDuiQR1AR4j3KQb1OIiNrrrTI1XBdsOwt5rk6lUKxM0nBQq1XG5UC5N6oVaBaECbaBSeTy8KF8MWb/laK2YwJLhehqakvGNxn00G5JpKsYtmpqxDsRlUT|E6S6C8r54p3CqIOs9hlxykgQjZo0M6a0IO1rqmQgbePT4unbNkXny0"</definedName>
    <definedName name="EPMWorkbookOptions_4" hidden="1">"jKnV3k/ofIbI2v/Iz|sboN6j8HRIckgyijpiBrUIfkWGjJfNsh5The6QL39/Pim6XKNpg8f3sz5De8VxI2RzesDTkp6qh6XSYlmKrA1aHcFHV6XMjZhNr85GXZ4Tc|ohKmskoXJsOwcSCxscf8whdXSIOGgTkgcgaZDUW6L5BkA9dMSybKVSrlcPlwiS2cokRGU0VzWgc5J0PdI7bvvPjxLW4ZmBxowSK9k7mFD1kwrc9LxnI4itDmd01T|01JQ"</definedName>
    <definedName name="EPMWorkbookOptions_5" hidden="1">"vWDoWu3icClgz08KlgzjNKCdWgHYC|WGvN9JWk8QUjvR7cUDNUHXpcS/9x6VDTfQAeQ0TezKQuLn/6/JGhkIkthPOpvT0cbOQOZ1Ecj|u/znFZKh6WqVZT|woVg|P4mMoFynL0suO1AqgK7AA1VJeuoemU4poNP36aRWC95HkyXOFh0moKNldPbmjpZJZXw3PyGV3cV2lyAJfYL4G39br5yfVkZZRsWSFyB53ZM4nk/tymkXHmaBpzVQIGinVi/"</definedName>
    <definedName name="EPMWorkbookOptions_6" hidden="1">"foeMnD1CEPxmencnTh6nds3mHTpVmyGIm6XBORzQJXV0WVAhavwX|O0Wzen6iGWUZTd2eKKhJz9qv4KKosEzTTLVer2d4tvHIAPpm35Z0PCc056nAJw1vWto3TngXZzjhrUFGl7Y8p4h6ev9NL5aLv3QiBVBM7aopFguzxOILJKfyvduMzsZgAonfIzp6whBZ9HPGXyTIiR9OpyOMqsAL4rUod//Xb00fVsba|SljmGQ0ddVsT3w/HFVoK6ldKs"</definedName>
    <definedName name="EPMWorkbookOptions_7" hidden="1">"WjKQVoUv9L0768KbE0Xa8zid8ZOi6bss9GbJPFpaxClVgSTud0pFIX|9/5|Wb9/CTSJ7j9|UUx|E|ipOfpkZkwqf2oKxYIW6RT||HSjgzJgGxkyFlMI6cjd32B0waq8J37pcwZHlmwwkiy1M9ZQRVBW8zeyj7kFOlNvFODijtqJVK6cifRtk|gCRdun1rTUNEEI/cRWMBB1uqckmhh4MdPkYH9oMDSjGe08twsDnxXx/OQ3PQCjCvvbUPUfz5eP"</definedName>
    <definedName name="EPMWorkbookOptions_8" hidden="1">"rWG6F4b2DSGU9RH|GEdYav854912OVxQM3/AFntPU1JSAAA"</definedName>
    <definedName name="EPMWorkbookOptions_9" hidden="1">"sskf3w0/5HYnZZ7VAPrl8nV2mR|BxgS68yk3/W5Vv51U1VuS0papaMD2vwjbX8140lzDL1cyvP8H5tYqo1ZHAAA="</definedName>
    <definedName name="er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{TRUE,TRUE,-1.25,-15.5,484.5,279.75,FALSE,FALSE,TRUE,TRUE,0,3,#N/A,1,#N/A,6.54545454545454,15.55,1,FALSE,FALSE,3,TRUE,1,FALSE,100,"Swvu.WP1.","ACwvu.WP1.",1,FALSE,FALSE,0.25,0.25,0.25,0.25,1,"",0,0,0,0,0,0,0,0,0,0,0,0,0,0,0}</definedName>
    <definedName name="error" localSheetId="1">#REF!</definedName>
    <definedName name="error" localSheetId="0">#REF!</definedName>
    <definedName name="error">#REF!</definedName>
    <definedName name="FAC_CALC">#REF!</definedName>
    <definedName name="FCTCcalcN">"optbox_FCcalcN"</definedName>
    <definedName name="FCTCcalcY">"optbox_FccalcY"</definedName>
    <definedName name="FED" localSheetId="1">#REF!</definedName>
    <definedName name="FED" localSheetId="0">#REF!</definedName>
    <definedName name="FED">#REF!</definedName>
    <definedName name="FIVE" localSheetId="1">#REF!</definedName>
    <definedName name="FIVE" localSheetId="0">#REF!</definedName>
    <definedName name="FIVE">#REF!</definedName>
    <definedName name="Format">#REF!</definedName>
    <definedName name="FOUR" localSheetId="1">#REF!</definedName>
    <definedName name="FOUR" localSheetId="0">#REF!</definedName>
    <definedName name="FOUR">#REF!</definedName>
    <definedName name="FUEL_EXCLUSION_SECTION">#REF!</definedName>
    <definedName name="Fuel_Pro_Forma_Adj">#REF!</definedName>
    <definedName name="g" localSheetId="1">#REF!</definedName>
    <definedName name="g" localSheetId="0">#REF!</definedName>
    <definedName name="g">#REF!</definedName>
    <definedName name="GASCOST">#REF!</definedName>
    <definedName name="gIsBlank" localSheetId="1" hidden="1">ISBLANK(gIsRef)</definedName>
    <definedName name="gIsBlank" hidden="1">ISBLANK(gIsRef)</definedName>
    <definedName name="gIsError" localSheetId="1" hidden="1">ISERROR(gIsRef)</definedName>
    <definedName name="gIsError" hidden="1">ISERROR(gIsRef)</definedName>
    <definedName name="gIsNumber" localSheetId="1" hidden="1">ISNUMBER(gIsRef)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localSheetId="1" hidden="1">ISTEXT(gIsRef)</definedName>
    <definedName name="gIsText" hidden="1">ISTEXT(gIsRef)</definedName>
    <definedName name="gordy" localSheetId="1" hidden="1">{#N/A,#N/A,FALSE,"Econ_Study";#N/A,#N/A,FALSE,"Base_Elec";#N/A,#N/A,FALSE,"Cogen_Elec";#N/A,#N/A,FALSE,"SRC_Elec";#N/A,#N/A,FALSE,"PT4_Smry WP2";#N/A,#N/A,FALSE,"Hist_smry WP1";#N/A,#N/A,FALSE,"Trn_Arnd WP4";#N/A,#N/A,FALSE,"Tests"}</definedName>
    <definedName name="gordy" hidden="1">{#N/A,#N/A,FALSE,"Econ_Study";#N/A,#N/A,FALSE,"Base_Elec";#N/A,#N/A,FALSE,"Cogen_Elec";#N/A,#N/A,FALSE,"SRC_Elec";#N/A,#N/A,FALSE,"PT4_Smry WP2";#N/A,#N/A,FALSE,"Hist_smry WP1";#N/A,#N/A,FALSE,"Trn_Arnd WP4";#N/A,#N/A,FALSE,"Tests"}</definedName>
    <definedName name="gordy2" localSheetId="1" hidden="1">{"Option A",#N/A,FALSE,"ELI2B"}</definedName>
    <definedName name="gordy2" hidden="1">{"Option A",#N/A,FALSE,"ELI2B"}</definedName>
    <definedName name="gordy3" localSheetId="1" hidden="1">{"Option B",#N/A,FALSE,"ELI2B"}</definedName>
    <definedName name="gordy3" hidden="1">{"Option B",#N/A,FALSE,"ELI2B"}</definedName>
    <definedName name="gordy4" localSheetId="1" hidden="1">{"Option A",#N/A,FALSE,"ELI2B";"Option B",#N/A,FALSE,"ELI2B";"Options Summary",#N/A,FALSE,"ELI2B"}</definedName>
    <definedName name="gordy4" hidden="1">{"Option A",#N/A,FALSE,"ELI2B";"Option B",#N/A,FALSE,"ELI2B";"Options Summary",#N/A,FALSE,"ELI2B"}</definedName>
    <definedName name="gordy5" localSheetId="1" hidden="1">{#N/A,#N/A,FALSE,"Summary";#N/A,#N/A,FALSE,"Option A";#N/A,#N/A,FALSE,"Option B";#N/A,#N/A,FALSE,"O&amp;M and Growth"}</definedName>
    <definedName name="gordy5" hidden="1">{#N/A,#N/A,FALSE,"Summary";#N/A,#N/A,FALSE,"Option A";#N/A,#N/A,FALSE,"Option B";#N/A,#N/A,FALSE,"O&amp;M and Growth"}</definedName>
    <definedName name="haha" localSheetId="1" hidden="1">{"OMPA_FAC",#N/A,FALSE,"OMPA FAC"}</definedName>
    <definedName name="haha" localSheetId="0" hidden="1">{"OMPA_FAC",#N/A,FALSE,"OMPA FAC"}</definedName>
    <definedName name="haha" hidden="1">{"OMPA_FAC",#N/A,FALSE,"OMPA FAC"}</definedName>
    <definedName name="INCOMESTM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">#REF!</definedName>
    <definedName name="JBL">#REF!</definedName>
    <definedName name="JE47TAX">#REF!</definedName>
    <definedName name="JEFF" localSheetId="1">#REF!</definedName>
    <definedName name="JEFF" localSheetId="0">#REF!</definedName>
    <definedName name="JEFF">#REF!</definedName>
    <definedName name="junk" localSheetId="1">#REF!</definedName>
    <definedName name="junk" localSheetId="0">#REF!</definedName>
    <definedName name="junk">#REF!</definedName>
    <definedName name="Juris_Weather_Adj_Data">#REF!</definedName>
    <definedName name="kwh">#REF!</definedName>
    <definedName name="LTD">#REF!</definedName>
    <definedName name="material_labor">#REF!</definedName>
    <definedName name="MED" localSheetId="1">#REF!</definedName>
    <definedName name="MED" localSheetId="0">#REF!</definedName>
    <definedName name="MED">#REF!</definedName>
    <definedName name="MEDICARE" localSheetId="1">#REF!</definedName>
    <definedName name="MEDICARE" localSheetId="0">#REF!</definedName>
    <definedName name="MEDICARE">#REF!</definedName>
    <definedName name="MFA">#REF!</definedName>
    <definedName name="MONTHLY" localSheetId="1">#REF!</definedName>
    <definedName name="MONTHLY" localSheetId="0">#REF!</definedName>
    <definedName name="MONTHLY">#REF!</definedName>
    <definedName name="MonthlyAdj" localSheetId="1">#REF!</definedName>
    <definedName name="MonthlyAdj" localSheetId="0">#REF!</definedName>
    <definedName name="MonthlyAdj">#REF!</definedName>
    <definedName name="MonthlyDetail" localSheetId="1">#REF!</definedName>
    <definedName name="MonthlyDetail" localSheetId="0">#REF!</definedName>
    <definedName name="MonthlyDetail">#REF!</definedName>
    <definedName name="MORE" localSheetId="1">#REF!</definedName>
    <definedName name="MORE" localSheetId="0">#REF!</definedName>
    <definedName name="MORE">#REF!</definedName>
    <definedName name="movelines">"movelines"</definedName>
    <definedName name="MROR">#REF!</definedName>
    <definedName name="MTDFERC">#REF!</definedName>
    <definedName name="MTDGAAP">#REF!</definedName>
    <definedName name="ncp_by_juris">#REF!</definedName>
    <definedName name="ncp_by_serv_level">#REF!</definedName>
    <definedName name="ncp_input_area">#REF!</definedName>
    <definedName name="New" localSheetId="1" hidden="1">{"ARK_JURIS_FUEL",#N/A,FALSE,"Ark_Fuel&amp;Rev"}</definedName>
    <definedName name="New" hidden="1">{"ARK_JURIS_FUEL",#N/A,FALSE,"Ark_Fuel&amp;Rev"}</definedName>
    <definedName name="NEXT" localSheetId="1">#REF!</definedName>
    <definedName name="NEXT" localSheetId="0">#REF!</definedName>
    <definedName name="NEXT">#REF!</definedName>
    <definedName name="NINE" localSheetId="1">#REF!</definedName>
    <definedName name="NINE" localSheetId="0">#REF!</definedName>
    <definedName name="NINE">#REF!</definedName>
    <definedName name="O_M_CSI">#REF!</definedName>
    <definedName name="OASDI" localSheetId="1">#REF!</definedName>
    <definedName name="OASDI" localSheetId="0">#REF!</definedName>
    <definedName name="OASDI">#REF!</definedName>
    <definedName name="OCT" localSheetId="1">#REF!</definedName>
    <definedName name="OCT" localSheetId="0">#REF!</definedName>
    <definedName name="OCT">#REF!</definedName>
    <definedName name="OGE">#REF!</definedName>
    <definedName name="OKALLOCATION">#REF!</definedName>
    <definedName name="OKCOALADJ">#REF!</definedName>
    <definedName name="OKDETAIL" localSheetId="1">#REF!</definedName>
    <definedName name="OKDETAIL" localSheetId="0">#REF!</definedName>
    <definedName name="OKDETAIL">#REF!</definedName>
    <definedName name="OKHEAD" localSheetId="1">#REF!</definedName>
    <definedName name="OKHEAD" localSheetId="0">#REF!</definedName>
    <definedName name="OKHEAD">#REF!</definedName>
    <definedName name="OKLA" localSheetId="1">#REF!</definedName>
    <definedName name="OKLA" localSheetId="0">#REF!</definedName>
    <definedName name="OKLA">#REF!</definedName>
    <definedName name="OKLAFAC">#REF!</definedName>
    <definedName name="Oklahoma" localSheetId="1">#REF!</definedName>
    <definedName name="Oklahoma" localSheetId="0">#REF!</definedName>
    <definedName name="Oklahoma">#REF!</definedName>
    <definedName name="OKLASUMMARY" localSheetId="1">#REF!</definedName>
    <definedName name="OKLASUMMARY" localSheetId="0">#REF!</definedName>
    <definedName name="OKLASUMMARY">#REF!</definedName>
    <definedName name="ONE" localSheetId="1">#REF!</definedName>
    <definedName name="ONE" localSheetId="0">#REF!</definedName>
    <definedName name="ONE">#REF!</definedName>
    <definedName name="PAGE__1">#REF!</definedName>
    <definedName name="PAGE__2">#REF!</definedName>
    <definedName name="PAGE_1">#REF!</definedName>
    <definedName name="PAGE_2">#REF!</definedName>
    <definedName name="PAGE_3">#N/A</definedName>
    <definedName name="PAGE_4">#N/A</definedName>
    <definedName name="page1">#REF!</definedName>
    <definedName name="page2">#REF!</definedName>
    <definedName name="page3">#REF!</definedName>
    <definedName name="Percent" localSheetId="1">#REF!</definedName>
    <definedName name="Percent" localSheetId="0">#REF!</definedName>
    <definedName name="Percent">#REF!</definedName>
    <definedName name="Plantnbv" localSheetId="1">#REF!</definedName>
    <definedName name="Plantnbv" localSheetId="0">#REF!</definedName>
    <definedName name="Plantnbv">#REF!</definedName>
    <definedName name="plus_pmts" localSheetId="1">#REF!</definedName>
    <definedName name="plus_pmts" localSheetId="0">#REF!</definedName>
    <definedName name="plus_pmts">#REF!</definedName>
    <definedName name="PRELIMINARY">#REF!</definedName>
    <definedName name="print" localSheetId="1">#REF!</definedName>
    <definedName name="print" localSheetId="0">#REF!</definedName>
    <definedName name="print">#REF!</definedName>
    <definedName name="Print.selection.print" localSheetId="1">#REF!</definedName>
    <definedName name="Print.selection.print" localSheetId="0">#REF!</definedName>
    <definedName name="Print.selection.print">#REF!</definedName>
    <definedName name="print_all" localSheetId="1">#REF!</definedName>
    <definedName name="print_all" localSheetId="0">#REF!</definedName>
    <definedName name="print_all">#REF!</definedName>
    <definedName name="print_all_D_1" localSheetId="1">#REF!</definedName>
    <definedName name="print_all_D_1" localSheetId="0">#REF!</definedName>
    <definedName name="print_all_D_1">#REF!</definedName>
    <definedName name="_xlnm.Print_Area" localSheetId="1">'OK Rt Chg Alloc Wksht 2021'!$A$1:$V$61</definedName>
    <definedName name="_xlnm.Print_Area" localSheetId="0">'TCJA Allocation Worksheet 2021'!$A$1:$V$84</definedName>
    <definedName name="PRINT_AREA_MI" localSheetId="1">#REF!</definedName>
    <definedName name="PRINT_AREA_MI" localSheetId="0">#REF!</definedName>
    <definedName name="PRINT_AREA_MI">#REF!</definedName>
    <definedName name="print_sch" localSheetId="1">#REF!</definedName>
    <definedName name="print_sch" localSheetId="0">#REF!</definedName>
    <definedName name="print_sch">#REF!</definedName>
    <definedName name="_xlnm.Print_Titles" localSheetId="1">'OK Rt Chg Alloc Wksht 2021'!$A:$B</definedName>
    <definedName name="_xlnm.Print_Titles" localSheetId="0">'TCJA Allocation Worksheet 2021'!$A:$B</definedName>
    <definedName name="PRINT_TITLES_MI" localSheetId="1">#REF!</definedName>
    <definedName name="PRINT_TITLES_MI" localSheetId="0">#REF!</definedName>
    <definedName name="PRINT_TITLES_MI">#REF!</definedName>
    <definedName name="py_cent" localSheetId="1">#REF!</definedName>
    <definedName name="py_cent" localSheetId="0">#REF!</definedName>
    <definedName name="py_cent">#REF!</definedName>
    <definedName name="py_clint" localSheetId="1">#REF!</definedName>
    <definedName name="py_clint" localSheetId="0">#REF!</definedName>
    <definedName name="py_clint">#REF!</definedName>
    <definedName name="py_eec" localSheetId="1">#REF!</definedName>
    <definedName name="py_eec" localSheetId="0">#REF!</definedName>
    <definedName name="py_eec">#REF!</definedName>
    <definedName name="py_ei" localSheetId="1">#REF!</definedName>
    <definedName name="py_ei" localSheetId="0">#REF!</definedName>
    <definedName name="py_ei">#REF!</definedName>
    <definedName name="py_engl" localSheetId="1">#REF!</definedName>
    <definedName name="py_engl" localSheetId="0">#REF!</definedName>
    <definedName name="py_engl">#REF!</definedName>
    <definedName name="py_epc" localSheetId="1">#REF!</definedName>
    <definedName name="py_epc" localSheetId="0">#REF!</definedName>
    <definedName name="py_epc">#REF!</definedName>
    <definedName name="py_esc" localSheetId="1">#REF!</definedName>
    <definedName name="py_esc" localSheetId="0">#REF!</definedName>
    <definedName name="py_esc">#REF!</definedName>
    <definedName name="q" localSheetId="1" hidden="1">{"MATALL",#N/A,FALSE,"Sheet4";"matclass",#N/A,FALSE,"Sheet4"}</definedName>
    <definedName name="q" localSheetId="0" hidden="1">{"MATALL",#N/A,FALSE,"Sheet4";"matclass",#N/A,FALSE,"Sheet4"}</definedName>
    <definedName name="q" hidden="1">{"MATALL",#N/A,FALSE,"Sheet4";"matclass",#N/A,FALSE,"Sheet4"}</definedName>
    <definedName name="QTR2FERC">#REF!</definedName>
    <definedName name="QTR2GAAP">#REF!</definedName>
    <definedName name="Reconcilement">#REF!</definedName>
    <definedName name="rider2">#REF!</definedName>
    <definedName name="ROE">#REF!</definedName>
    <definedName name="ROR">#REF!</definedName>
    <definedName name="SAPBEXdnldView">"D3AGMWPPTUYDCJTDZ8WJR9VSG"</definedName>
    <definedName name="SAPBEXsysID">"PBW"</definedName>
    <definedName name="SchE7" localSheetId="1">#REF!</definedName>
    <definedName name="SchE7" localSheetId="0">#REF!</definedName>
    <definedName name="SchE7">#REF!</definedName>
    <definedName name="simoutaneous" localSheetId="1">#REF!</definedName>
    <definedName name="simoutaneous" localSheetId="0">#REF!</definedName>
    <definedName name="simoutaneous">#REF!</definedName>
    <definedName name="SIX" localSheetId="1">#REF!</definedName>
    <definedName name="SIX" localSheetId="0">#REF!</definedName>
    <definedName name="SIX">#REF!</definedName>
    <definedName name="SP_1">#REF!</definedName>
    <definedName name="SP_2">#REF!</definedName>
    <definedName name="srg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sss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sss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 localSheetId="1">#REF!</definedName>
    <definedName name="STATE" localSheetId="0">#REF!</definedName>
    <definedName name="STATE">#REF!</definedName>
    <definedName name="Swvu.OP." localSheetId="1" hidden="1">#REF!</definedName>
    <definedName name="Swvu.OP." localSheetId="0" hidden="1">#REF!</definedName>
    <definedName name="Swvu.OP." hidden="1">#REF!</definedName>
    <definedName name="TEN" localSheetId="1">#REF!</definedName>
    <definedName name="TEN" localSheetId="0">#REF!</definedName>
    <definedName name="TEN">#REF!</definedName>
    <definedName name="test" localSheetId="1">#REF!</definedName>
    <definedName name="test" localSheetId="0">#REF!</definedName>
    <definedName name="TEST" hidden="1">{TRUE,TRUE,-1.25,-15.5,484.5,279.75,FALSE,FALSE,TRUE,TRUE,0,3,#N/A,1,#N/A,6.54545454545454,15.55,1,FALSE,FALSE,3,TRUE,1,FALSE,100,"Swvu.WP1.","ACwvu.WP1.",1,FALSE,FALSE,0.25,0.25,0.25,0.25,1,"",0,0,0,0,0,0,0,0,0,0,0,0,0,0,0}</definedName>
    <definedName name="TEST0">#REF!</definedName>
    <definedName name="TEST1">#REF!</definedName>
    <definedName name="TEST4">#REF!</definedName>
    <definedName name="TESTHKEY">#REF!</definedName>
    <definedName name="TESTKEYS">#REF!</definedName>
    <definedName name="TESTVKEY">#REF!</definedName>
    <definedName name="TGU">#REF!</definedName>
    <definedName name="THOUMFA">#REF!</definedName>
    <definedName name="THREE" localSheetId="1">#REF!</definedName>
    <definedName name="THREE" localSheetId="0">#REF!</definedName>
    <definedName name="THREE">#REF!</definedName>
    <definedName name="TOPMENU" localSheetId="1">#REF!</definedName>
    <definedName name="TOPMENU" localSheetId="0">#REF!</definedName>
    <definedName name="TOPMENU">#REF!</definedName>
    <definedName name="TOTAL" localSheetId="1">#REF!</definedName>
    <definedName name="TOTAL" localSheetId="0">#REF!</definedName>
    <definedName name="Total">#REF!</definedName>
    <definedName name="TR">#REF!</definedName>
    <definedName name="tran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12CPPG1">#REF!</definedName>
    <definedName name="TRAN12CPPG2">#REF!</definedName>
    <definedName name="w" localSheetId="1" hidden="1">{"MATALL",#N/A,FALSE,"Sheet4";"matclass",#N/A,FALSE,"Sheet4"}</definedName>
    <definedName name="w" localSheetId="0" hidden="1">{"MATALL",#N/A,FALSE,"Sheet4";"matclass",#N/A,FALSE,"Sheet4"}</definedName>
    <definedName name="w" hidden="1">{"MATALL",#N/A,FALSE,"Sheet4";"matclass",#N/A,FALSE,"Sheet4"}</definedName>
    <definedName name="Weather_Fuel_Cost_Calc">#REF!</definedName>
    <definedName name="WEIGHAVG">#REF!</definedName>
    <definedName name="WORK" localSheetId="1">#REF!</definedName>
    <definedName name="WORK" localSheetId="0">#REF!</definedName>
    <definedName name="WORK">#REF!</definedName>
    <definedName name="WORKCAPa" localSheetId="1" hidden="1">{"WCCWCLL",#N/A,FALSE,"Sheet3";"PP",#N/A,FALSE,"Sheet3";"MAT1",#N/A,FALSE,"Sheet3";"MAT2",#N/A,FALSE,"Sheet3"}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ORKFIG">#REF!</definedName>
    <definedName name="wr">#REF!</definedName>
    <definedName name="wrn.2006._.Rate._.Case." localSheetId="1" hidden="1">{"DAB-1, Sch 21, Pg 1",#N/A,FALSE,"ELEC ENERGY";"DAB-1, Sch 21, Pg 2",#N/A,FALSE,"RTPDenverWater";"DAB-1, Sch 21, Pg 3",#N/A,FALSE,"INCREMENTAL - WHOLESALE"}</definedName>
    <definedName name="wrn.2006._.Rate._.Case." localSheetId="0" hidden="1">{"DAB-1, Sch 21, Pg 1",#N/A,FALSE,"ELEC ENERGY";"DAB-1, Sch 21, Pg 2",#N/A,FALSE,"RTPDenverWater";"DAB-1, Sch 21, Pg 3",#N/A,FALSE,"INCREMENTAL - WHOLESALE"}</definedName>
    <definedName name="wrn.2006._.Rate._.Case." hidden="1">{"DAB-1, Sch 21, Pg 1",#N/A,FALSE,"ELEC ENERGY";"DAB-1, Sch 21, Pg 2",#N/A,FALSE,"RTPDenverWater";"DAB-1, Sch 21, Pg 3",#N/A,FALSE,"INCREMENTAL - WHOLESALE"}</definedName>
    <definedName name="wrn.ACC._.PROV." localSheetId="1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AFUDC." localSheetId="1" hidden="1">{#N/A,#N/A,FALSE,"COMPAPER";#N/A,#N/A,FALSE,"AFUDC";#N/A,#N/A,FALSE,"JE"}</definedName>
    <definedName name="wrn.AFUDC." localSheetId="0" hidden="1">{#N/A,#N/A,FALSE,"COMPAPER";#N/A,#N/A,FALSE,"AFUDC";#N/A,#N/A,FALSE,"JE"}</definedName>
    <definedName name="wrn.AFUDC." hidden="1">{#N/A,#N/A,FALSE,"COMPAPER";#N/A,#N/A,FALSE,"AFUDC";#N/A,#N/A,FALSE,"JE"}</definedName>
    <definedName name="wrn.ALL._.GS292._.SHEETS." localSheetId="1" hidden="1">{#N/A,#N/A,FALSE,"All 292 ";#N/A,#N/A,FALSE,"292 Calc";#N/A,#N/A,FALSE,"GSH-6 Calc";#N/A,#N/A,FALSE,"GSH-6A Calc";#N/A,#N/A,FALSE,"057 Calc";#N/A,#N/A,FALSE,"099 Misc. Unmetered"}</definedName>
    <definedName name="wrn.ALL._.GS292._.SHEETS." hidden="1">{#N/A,#N/A,FALSE,"All 292 ";#N/A,#N/A,FALSE,"292 Calc";#N/A,#N/A,FALSE,"GSH-6 Calc";#N/A,#N/A,FALSE,"GSH-6A Calc";#N/A,#N/A,FALSE,"057 Calc";#N/A,#N/A,FALSE,"099 Misc. Unmetered"}</definedName>
    <definedName name="wrn.ALL._.SHEETS." localSheetId="1" hidden="1">{"SUMMARY",#N/A,FALSE,"Fuel Adj.";"DETAIL",#N/A,FALSE,"Fuel Adj.";#N/A,#N/A,FALSE,"Base Fuel"}</definedName>
    <definedName name="wrn.ALL._.SHEETS." hidden="1">{"SUMMARY",#N/A,FALSE,"Fuel Adj.";"DETAIL",#N/A,FALSE,"Fuel Adj.";#N/A,#N/A,FALSE,"Base Fuel"}</definedName>
    <definedName name="wrn.ARK._.JURIS._.FAC._.CALC." localSheetId="1" hidden="1">{"ARK_JURIS_FAC",#N/A,FALSE,"Ark_Fuel&amp;Rev"}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1" hidden="1">{"ARK_JURIS_FUEL",#N/A,FALSE,"Ark_Fuel&amp;Rev"}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1" hidden="1">{"ATOKA_FAC",#N/A,FALSE,"Atoka"}</definedName>
    <definedName name="wrn.ATOKA._.FAC._.CALC." localSheetId="0" hidden="1">{"ATOKA_FAC",#N/A,FALSE,"Atoka"}</definedName>
    <definedName name="wrn.ATOKA._.FAC._.CALC." hidden="1">{"ATOKA_FAC",#N/A,FALSE,"Atoka"}</definedName>
    <definedName name="wrn.CAPACITY._.ALLOC._.SUMMARY." localSheetId="1" hidden="1">{"CAP_ALLOC_SUMMARY",#N/A,FALSE,"Alloc Summary"}</definedName>
    <definedName name="wrn.CAPACITY._.ALLOC._.SUMMARY." hidden="1">{"CAP_ALLOC_SUMMARY",#N/A,FALSE,"Alloc Summary"}</definedName>
    <definedName name="wrn.CONOCO._.FAC." localSheetId="1" hidden="1">{"CONOCO_FAC",#N/A,FALSE,"Conoco FAC"}</definedName>
    <definedName name="wrn.CONOCO._.FAC." localSheetId="0" hidden="1">{"CONOCO_FAC",#N/A,FALSE,"Conoco FAC"}</definedName>
    <definedName name="wrn.CONOCO._.FAC." hidden="1">{"CONOCO_FAC",#N/A,FALSE,"Conoco FAC"}</definedName>
    <definedName name="wrn.COS._.WPS." localSheetId="1" hidden="1">{#N/A,#N/A,FALSE,"Retail";#N/A,#N/A,FALSE,"Residential";#N/A,#N/A,FALSE,"All 292 ";#N/A,#N/A,FALSE,"TOU Calc - 009";#N/A,#N/A,FALSE,"Irrigation Calc - 085";#N/A,#N/A,FALSE,"Ice Plant Calc - 086";#N/A,#N/A,FALSE,"Municipal Pumping Calc - 053";#N/A,#N/A,FALSE,"SWH Calc - 061";#N/A,#N/A,FALSE,"GLP-11 Calc - 090";#N/A,#N/A,FALSE,"Fayette Calc. - 044";#N/A,#N/A,FALSE,"Intermediate GS Calc - 083";#N/A,#N/A,FALSE,"IGS Ind. ED Credits";#N/A,#N/A,FALSE,"Cotton Gins Calc - 087";#N/A,#N/A,FALSE,"HLF Calc. 183 &amp; 192";#N/A,#N/A,FALSE,"HLF Ind. ED Credits";#N/A,#N/A,FALSE,"LGS Calc - 092";#N/A,#N/A,FALSE,"LGS Ind. ED Credits";#N/A,#N/A,FALSE,"Oil Mills Calc - 088";#N/A,#N/A,FALSE,"State Inst. Calc - 091";#N/A,#N/A,FALSE,"ALGS Calc. - 093";#N/A,#N/A,FALSE,"ALGS Ind. ED Credits";#N/A,#N/A,FALSE,"All Lighting Rev."}</definedName>
    <definedName name="wrn.COS._.WPS." hidden="1">{#N/A,#N/A,FALSE,"Retail";#N/A,#N/A,FALSE,"Residential";#N/A,#N/A,FALSE,"All 292 ";#N/A,#N/A,FALSE,"TOU Calc - 009";#N/A,#N/A,FALSE,"Irrigation Calc - 085";#N/A,#N/A,FALSE,"Ice Plant Calc - 086";#N/A,#N/A,FALSE,"Municipal Pumping Calc - 053";#N/A,#N/A,FALSE,"SWH Calc - 061";#N/A,#N/A,FALSE,"GLP-11 Calc - 090";#N/A,#N/A,FALSE,"Fayette Calc. - 044";#N/A,#N/A,FALSE,"Intermediate GS Calc - 083";#N/A,#N/A,FALSE,"IGS Ind. ED Credits";#N/A,#N/A,FALSE,"Cotton Gins Calc - 087";#N/A,#N/A,FALSE,"HLF Calc. 183 &amp; 192";#N/A,#N/A,FALSE,"HLF Ind. ED Credits";#N/A,#N/A,FALSE,"LGS Calc - 092";#N/A,#N/A,FALSE,"LGS Ind. ED Credits";#N/A,#N/A,FALSE,"Oil Mills Calc - 088";#N/A,#N/A,FALSE,"State Inst. Calc - 091";#N/A,#N/A,FALSE,"ALGS Calc. - 093";#N/A,#N/A,FALSE,"ALGS Ind. ED Credits";#N/A,#N/A,FALSE,"All Lighting Rev."}</definedName>
    <definedName name="wrn.CUST._.REV._.ALLOC._.INPUT." localSheetId="1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cwip." localSheetId="1" hidden="1">{"CWIP2",#N/A,FALSE,"CWIP";"CWIP3",#N/A,FALSE,"CWIP"}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1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DEMAND._.ENERGY._.RATIOS." localSheetId="1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1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1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Earnings._.Test." localSheetId="1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1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ET._.Schedules." localSheetId="0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REP." localSheetId="1" hidden="1">{#N/A,#N/A,FALSE,"OKLAFAC";#N/A,#N/A,FALSE,"OKLAFAC (QF-1)";#N/A,#N/A,FALSE,"CONOCO";#N/A,#N/A,FALSE,"DATA";#N/A,#N/A,FALSE,"COGEN"}</definedName>
    <definedName name="wrn.FAC._.REP." hidden="1">{#N/A,#N/A,FALSE,"OKLAFAC";#N/A,#N/A,FALSE,"OKLAFAC (QF-1)";#N/A,#N/A,FALSE,"CONOCO";#N/A,#N/A,FALSE,"DATA";#N/A,#N/A,FALSE,"COGEN"}</definedName>
    <definedName name="wrn.FAC._.SUMMARY." localSheetId="1" hidden="1">{"FAC_SUMMARY",#N/A,FALSE,"Summaries"}</definedName>
    <definedName name="wrn.FAC._.SUMMARY." localSheetId="0" hidden="1">{"FAC_SUMMARY",#N/A,FALSE,"Summaries"}</definedName>
    <definedName name="wrn.FAC._.SUMMARY." hidden="1">{"FAC_SUMMARY",#N/A,FALSE,"Summaries"}</definedName>
    <definedName name="wrn.FERC._.FAC._.CALC." localSheetId="1" hidden="1">{"FERC_FAC",#N/A,FALSE,"FERC_Fuel&amp;Rev"}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1" hidden="1">{"FERC_WEATHER_AND_FUEL",#N/A,FALSE,"FERC_Fuel&amp;Rev"}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Filing." localSheetId="1" hidden="1">{#N/A,#N/A,FALSE,"Econ_Study";#N/A,#N/A,FALSE,"Base_Elec";#N/A,#N/A,FALSE,"Cogen_Elec";#N/A,#N/A,FALSE,"SRC_Elec";#N/A,#N/A,FALSE,"PT4_Smry WP2";#N/A,#N/A,FALSE,"Hist_smry WP1";#N/A,#N/A,FALSE,"Trn_Arnd WP4";#N/A,#N/A,FALSE,"Tests"}</definedName>
    <definedName name="wrn.Filing." hidden="1">{#N/A,#N/A,FALSE,"Econ_Study";#N/A,#N/A,FALSE,"Base_Elec";#N/A,#N/A,FALSE,"Cogen_Elec";#N/A,#N/A,FALSE,"SRC_Elec";#N/A,#N/A,FALSE,"PT4_Smry WP2";#N/A,#N/A,FALSE,"Hist_smry WP1";#N/A,#N/A,FALSE,"Trn_Arnd WP4";#N/A,#N/A,FALSE,"Tests"}</definedName>
    <definedName name="wrn.FUEL._.EXCLUSION." localSheetId="1" hidden="1">{#N/A,#N/A,FALSE,"EXCLUSION";#N/A,#N/A,FALSE,"WEIGHED AVG (COAL)";#N/A,#N/A,FALSE,"WEIGHTED AVG (GAS)";#N/A,#N/A,FALSE,"WEIGHTED AVG VS LIFO";#N/A,#N/A,FALSE,"GAS COST";#N/A,#N/A,FALSE,"EXCESS WORKSHEET";#N/A,#N/A,FALSE,"DATA"}</definedName>
    <definedName name="wrn.FUEL._.EXCLUSION." hidden="1">{#N/A,#N/A,FALSE,"EXCLUSION";#N/A,#N/A,FALSE,"WEIGHED AVG (COAL)";#N/A,#N/A,FALSE,"WEIGHTED AVG (GAS)";#N/A,#N/A,FALSE,"WEIGHTED AVG VS LIFO";#N/A,#N/A,FALSE,"GAS COST";#N/A,#N/A,FALSE,"EXCESS WORKSHEET";#N/A,#N/A,FALSE,"DATA"}</definedName>
    <definedName name="wrn.full._.print." localSheetId="1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localSheetId="1" hidden="1">{"wp_h4.2",#N/A,FALSE,"WP_H4.2";"wp_h4.3",#N/A,FALSE,"WP_H4.3"}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INCOME._.TAX._.CALCULATION." localSheetId="1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matdtl." localSheetId="1" hidden="1">{"MATALL",#N/A,FALSE,"Sheet4";"matclass",#N/A,FALSE,"Sheet4"}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1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localSheetId="1" hidden="1">{"OK_FUEL_COMPARISON",#N/A,FALSE,"Ok_Fuel&amp;Rev"}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1" hidden="1">{"OK_JURIS_FAC",#N/A,FALSE,"Ok_Fuel&amp;Rev"}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1" hidden="1">{"OK_JURIS_FUEL",#N/A,FALSE,"Ok_Fuel&amp;Rev"}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FAC." localSheetId="1" hidden="1">{#N/A,#N/A,FALSE,"Page_1";#N/A,#N/A,FALSE,"Page_2";#N/A,#N/A,FALSE,"Page_3";#N/A,#N/A,FALSE,"Page_4"}</definedName>
    <definedName name="wrn.Okla._.FAC." hidden="1">{#N/A,#N/A,FALSE,"Page_1";#N/A,#N/A,FALSE,"Page_2";#N/A,#N/A,FALSE,"Page_3";#N/A,#N/A,FALSE,"Page_4"}</definedName>
    <definedName name="wrn.OKLA._.PRO._.FORMA._.FUEL." localSheetId="1" hidden="1">{"OK_PRO_FORMA_FUEL",#N/A,FALSE,"Ok_Fuel&amp;Rev"}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._.EXPENSES." localSheetId="1" hidden="1">{"JURIS_OM_EXP",#N/A,FALSE,"COSTSTUDY";"OKCLS_OM_EXP",#N/A,FALSE,"COSTSTUDY"}</definedName>
    <definedName name="wrn.OM._.EXPENSES." hidden="1">{"JURIS_OM_EXP",#N/A,FALSE,"COSTSTUDY";"OKCLS_OM_EXP",#N/A,FALSE,"COSTSTUDY"}</definedName>
    <definedName name="wrn.OMPA._.FAC." localSheetId="1" hidden="1">{"OMPA_FAC",#N/A,FALSE,"OMPA FAC"}</definedName>
    <definedName name="wrn.OMPA._.FAC." localSheetId="0" hidden="1">{"OMPA_FAC",#N/A,FALSE,"OMPA FAC"}</definedName>
    <definedName name="wrn.OMPA._.FAC." hidden="1">{"OMPA_FAC",#N/A,FALSE,"OMPA FAC"}</definedName>
    <definedName name="wrn.OPT._.A." localSheetId="1" hidden="1">{"Option A",#N/A,FALSE,"ELI2B"}</definedName>
    <definedName name="wrn.OPT._.A." hidden="1">{"Option A",#N/A,FALSE,"ELI2B"}</definedName>
    <definedName name="wrn.OPT._.B." localSheetId="1" hidden="1">{"Option B",#N/A,FALSE,"ELI2B"}</definedName>
    <definedName name="wrn.OPT._.B." hidden="1">{"Option B",#N/A,FALSE,"ELI2B"}</definedName>
    <definedName name="wrn.OTHER._.DATA." localSheetId="1" hidden="1">{"OTHER_DATA",#N/A,FALSE,"Ok_Fuel&amp;Rev"}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PLANT._.IN._.SERVICE." localSheetId="1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PPJOURNAL._.ENTRY." localSheetId="1" hidden="1">{"PPDEFERREDBAL",#N/A,FALSE,"PRIOR PERIOD ADJMT";#N/A,#N/A,FALSE,"PRIOR PERIOD ADJMT";"PPJOURNALENTRY",#N/A,FALSE,"PRIOR PERIOD ADJMT"}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nt._.All." localSheetId="1" hidden="1">{#N/A,#N/A,FALSE,"Wthr ADJ95";#N/A,#N/A,FALSE,"Res Min.";#N/A,#N/A,FALSE,"Res";#N/A,#N/A,FALSE,"MMA";#N/A,#N/A,FALSE,"SE";#N/A,#N/A,FALSE,"MMNR";#N/A,#N/A,FALSE,"LE";#N/A,#N/A,FALSE,"LE-HLF";#N/A,#N/A,FALSE,"EIS";#N/A,#N/A,FALSE,"LIS";#N/A,#N/A,FALSE,"HV";#N/A,#N/A,FALSE,"ODSL"}</definedName>
    <definedName name="wrn.Print._.All." hidden="1">{#N/A,#N/A,FALSE,"Wthr ADJ95";#N/A,#N/A,FALSE,"Res Min.";#N/A,#N/A,FALSE,"Res";#N/A,#N/A,FALSE,"MMA";#N/A,#N/A,FALSE,"SE";#N/A,#N/A,FALSE,"MMNR";#N/A,#N/A,FALSE,"LE";#N/A,#N/A,FALSE,"LE-HLF";#N/A,#N/A,FALSE,"EIS";#N/A,#N/A,FALSE,"LIS";#N/A,#N/A,FALSE,"HV";#N/A,#N/A,FALSE,"ODSL"}</definedName>
    <definedName name="wrn.Print._.Filing." localSheetId="1" hidden="1">{#N/A,#N/A,FALSE,"ALLOC FACTORS";#N/A,#N/A,FALSE,"KW @ PLANT";#N/A,#N/A,FALSE,"96 LOAD DATA";#N/A,#N/A,FALSE,"INTERRUPTIBLE DATA";#N/A,#N/A,FALSE,"LOSS FACTORS";#N/A,#N/A,FALSE,"MWH @ PLANT";#N/A,#N/A,FALSE,"METER READING ALLOCATOR";#N/A,#N/A,FALSE,"MTR READ WEIGHTING";#N/A,#N/A,FALSE,"TYPICAL MTR COST EXCLD CT &amp; PT";#N/A,#N/A,FALSE,"METER ALLOCATOR";#N/A,#N/A,FALSE,"METER COST";#N/A,#N/A,FALSE,"SERVICES ALLOCATOR";#N/A,#N/A,FALSE,"CUSTOMER ALLOCATOR"}</definedName>
    <definedName name="wrn.Print._.Filing." hidden="1">{#N/A,#N/A,FALSE,"ALLOC FACTORS";#N/A,#N/A,FALSE,"KW @ PLANT";#N/A,#N/A,FALSE,"96 LOAD DATA";#N/A,#N/A,FALSE,"INTERRUPTIBLE DATA";#N/A,#N/A,FALSE,"LOSS FACTORS";#N/A,#N/A,FALSE,"MWH @ PLANT";#N/A,#N/A,FALSE,"METER READING ALLOCATOR";#N/A,#N/A,FALSE,"MTR READ WEIGHTING";#N/A,#N/A,FALSE,"TYPICAL MTR COST EXCLD CT &amp; PT";#N/A,#N/A,FALSE,"METER ALLOCATOR";#N/A,#N/A,FALSE,"METER COST";#N/A,#N/A,FALSE,"SERVICES ALLOCATOR";#N/A,#N/A,FALSE,"CUSTOMER ALLOCATOR"}</definedName>
    <definedName name="wrn.Print._.Workpapers." localSheetId="1" hidden="1">{#N/A,#N/A,FALSE,"Cover_Page";#N/A,#N/A,FALSE,"Summary";#N/A,#N/A,FALSE,"Dev_AllFtr_LA";#N/A,#N/A,FALSE,"Dev_AllFtr_TX";#N/A,#N/A,FALSE,"Dev_AllFtr_Wheel";#N/A,#N/A,FALSE,"Input_Dev_Prod_AllFtr";#N/A,#N/A,FALSE,"Adj_mWh";"12CP-Adjusted",#N/A,FALSE,"12CP";#N/A,#N/A,FALSE,"12CP_AdjFtr";"12CP-Unadjusted",#N/A,FALSE,"12CP";"MDD-Adjusted",#N/A,FALSE,"MDD";#N/A,#N/A,FALSE,"MDD_AdjFtr";"MDD-Unadjusted",#N/A,FALSE,"MDD";#N/A,#N/A,FALSE,"MDD-CP_WthrAdjFtr";#N/A,#N/A,FALSE,"YrEnd_CustAdjFtr";"NCP-Adjusted",#N/A,FALSE,"NCP";#N/A,#N/A,FALSE,"NCP_AdjFtr";"NCP-Unadjusted",#N/A,FALSE,"NCP";#N/A,#N/A,FALSE,"LOSS FACT";#N/A,#N/A,FALSE,"LA CUST ALLOC";#N/A,#N/A,FALSE,"TX CUST ALLOC";#N/A,#N/A,FALSE,"Service_Alloc";#N/A,#N/A,FALSE,"LA-TX MTR ALLOC";#N/A,#N/A,FALSE,"LA AVG MTR COST";#N/A,#N/A,FALSE,"LA MTR COST";#N/A,#N/A,FALSE,"TX AVG MTR COST";#N/A,#N/A,FALSE,"TX MTR COST";#N/A,#N/A,FALSE,"CT &amp; PT COSTS";#N/A,#N/A,FALSE,"AVG. CUSTOMERS"}</definedName>
    <definedName name="wrn.Print._.Workpapers." hidden="1">{#N/A,#N/A,FALSE,"Cover_Page";#N/A,#N/A,FALSE,"Summary";#N/A,#N/A,FALSE,"Dev_AllFtr_LA";#N/A,#N/A,FALSE,"Dev_AllFtr_TX";#N/A,#N/A,FALSE,"Dev_AllFtr_Wheel";#N/A,#N/A,FALSE,"Input_Dev_Prod_AllFtr";#N/A,#N/A,FALSE,"Adj_mWh";"12CP-Adjusted",#N/A,FALSE,"12CP";#N/A,#N/A,FALSE,"12CP_AdjFtr";"12CP-Unadjusted",#N/A,FALSE,"12CP";"MDD-Adjusted",#N/A,FALSE,"MDD";#N/A,#N/A,FALSE,"MDD_AdjFtr";"MDD-Unadjusted",#N/A,FALSE,"MDD";#N/A,#N/A,FALSE,"MDD-CP_WthrAdjFtr";#N/A,#N/A,FALSE,"YrEnd_CustAdjFtr";"NCP-Adjusted",#N/A,FALSE,"NCP";#N/A,#N/A,FALSE,"NCP_AdjFtr";"NCP-Unadjusted",#N/A,FALSE,"NCP";#N/A,#N/A,FALSE,"LOSS FACT";#N/A,#N/A,FALSE,"LA CUST ALLOC";#N/A,#N/A,FALSE,"TX CUST ALLOC";#N/A,#N/A,FALSE,"Service_Alloc";#N/A,#N/A,FALSE,"LA-TX MTR ALLOC";#N/A,#N/A,FALSE,"LA AVG MTR COST";#N/A,#N/A,FALSE,"LA MTR COST";#N/A,#N/A,FALSE,"TX AVG MTR COST";#N/A,#N/A,FALSE,"TX MTR COST";#N/A,#N/A,FALSE,"CT &amp; PT COSTS";#N/A,#N/A,FALSE,"AVG. CUSTOMERS"}</definedName>
    <definedName name="wrn.Print_All." localSheetId="1" hidden="1">{#N/A,#N/A,FALSE,"Summary";#N/A,#N/A,FALSE,"Dev_AllFtr_LA";#N/A,#N/A,FALSE,"Dev_AllFtr_TX";#N/A,#N/A,FALSE,"Dev_AllFtr_Wheel";#N/A,#N/A,FALSE,"Input_Dev_Prod_AllFtr";#N/A,#N/A,FALSE,"Dev_A&amp;E_Prod_Alloc";#N/A,#N/A,FALSE,"Dev_A&amp;E_Trans_Alloc";#N/A,#N/A,FALSE,"Adj_mWh";#N/A,#N/A,FALSE,"CP";#N/A,#N/A,FALSE,"MDD";#N/A,#N/A,FALSE,"NCP";#N/A,#N/A,FALSE,"CP_AdjFtr";#N/A,#N/A,FALSE,"MDD_AdjFtr";#N/A,#N/A,FALSE,"NCP_AdjFtr";#N/A,#N/A,FALSE,"MDD-CP_Wthr_Ftr";#N/A,#N/A,FALSE,"MDD-CP_Cust_Ftr";#N/A,#N/A,FALSE,"LOSS FACT";#N/A,#N/A,FALSE,"LA CUST ALLOC";#N/A,#N/A,FALSE,"TX CUST ALLOC";#N/A,#N/A,FALSE,"Service_Alloc";#N/A,#N/A,FALSE,"LA-TX MTR ALLOC";#N/A,#N/A,FALSE,"LA AVG MTR COST";#N/A,#N/A,FALSE,"LA MTR COST";#N/A,#N/A,FALSE,"TX AVG MTR COST";#N/A,#N/A,FALSE,"TX MTR COST";#N/A,#N/A,FALSE,"CT &amp; PT COSTS";#N/A,#N/A,FALSE,"AVG. CUSTOMERS";#N/A,#N/A,FALSE,"Adj-AVG. CUSTOMERS";#N/A,#N/A,FALSE,"Yr End Adj-LA";#N/A,#N/A,FALSE,"Weather Adj-LA";#N/A,#N/A,FALSE,"Weather Factors-LA"}</definedName>
    <definedName name="wrn.Print_All." hidden="1">{#N/A,#N/A,FALSE,"Summary";#N/A,#N/A,FALSE,"Dev_AllFtr_LA";#N/A,#N/A,FALSE,"Dev_AllFtr_TX";#N/A,#N/A,FALSE,"Dev_AllFtr_Wheel";#N/A,#N/A,FALSE,"Input_Dev_Prod_AllFtr";#N/A,#N/A,FALSE,"Dev_A&amp;E_Prod_Alloc";#N/A,#N/A,FALSE,"Dev_A&amp;E_Trans_Alloc";#N/A,#N/A,FALSE,"Adj_mWh";#N/A,#N/A,FALSE,"CP";#N/A,#N/A,FALSE,"MDD";#N/A,#N/A,FALSE,"NCP";#N/A,#N/A,FALSE,"CP_AdjFtr";#N/A,#N/A,FALSE,"MDD_AdjFtr";#N/A,#N/A,FALSE,"NCP_AdjFtr";#N/A,#N/A,FALSE,"MDD-CP_Wthr_Ftr";#N/A,#N/A,FALSE,"MDD-CP_Cust_Ftr";#N/A,#N/A,FALSE,"LOSS FACT";#N/A,#N/A,FALSE,"LA CUST ALLOC";#N/A,#N/A,FALSE,"TX CUST ALLOC";#N/A,#N/A,FALSE,"Service_Alloc";#N/A,#N/A,FALSE,"LA-TX MTR ALLOC";#N/A,#N/A,FALSE,"LA AVG MTR COST";#N/A,#N/A,FALSE,"LA MTR COST";#N/A,#N/A,FALSE,"TX AVG MTR COST";#N/A,#N/A,FALSE,"TX MTR COST";#N/A,#N/A,FALSE,"CT &amp; PT COSTS";#N/A,#N/A,FALSE,"AVG. CUSTOMERS";#N/A,#N/A,FALSE,"Adj-AVG. CUSTOMERS";#N/A,#N/A,FALSE,"Yr End Adj-LA";#N/A,#N/A,FALSE,"Weather Adj-LA";#N/A,#N/A,FALSE,"Weather Factors-LA"}</definedName>
    <definedName name="wrn.PRIOR._.PERIOD._.ADJMT." localSheetId="1" hidden="1">{#N/A,#N/A,FALSE,"PRIOR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1" hidden="1">{"Production",#N/A,FALSE,"Electric O&amp;M Functionalization"}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RATEBASE._.ADJUSTMENTS." localSheetId="1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1" hidden="1">{"SCHK1",#N/A,FALSE,"FILING REPORTS"}</definedName>
    <definedName name="wrn.SCHEDULE_K_1." hidden="1">{"SCHK1",#N/A,FALSE,"FILING REPORTS"}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FAC." localSheetId="1" hidden="1">{"SPA_FAC",#N/A,FALSE,"OMPA SPA FAC"}</definedName>
    <definedName name="wrn.SPA._.FAC." localSheetId="0" hidden="1">{"SPA_FAC",#N/A,FALSE,"OMPA SPA FAC"}</definedName>
    <definedName name="wrn.SPA._.FAC." hidden="1">{"SPA_FAC",#N/A,FALSE,"OMPA SPA FAC"}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1" hidden="1">{"Option A",#N/A,FALSE,"ELI2B";"Option B",#N/A,FALSE,"ELI2B";"Options Summary",#N/A,FALSE,"ELI2B"}</definedName>
    <definedName name="wrn.Summary." hidden="1">{"Option A",#N/A,FALSE,"ELI2B";"Option B",#N/A,FALSE,"ELI2B";"Options Summary",#N/A,FALSE,"ELI2B"}</definedName>
    <definedName name="wrn.SUMMARY._.GS292." localSheetId="1" hidden="1">{#N/A,#N/A,FALSE,"All 292 "}</definedName>
    <definedName name="wrn.SUMMARY._.GS292." hidden="1">{#N/A,#N/A,FALSE,"All 292 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3." localSheetId="1" hidden="1">{#N/A,#N/A,FALSE,"WP_P1";#N/A,#N/A,FALSE,"WP_P2";#N/A,#N/A,FALSE,"WP_P4";#N/A,#N/A,FALSE,"WP_P5";#N/A,#N/A,FALSE,"WP_P6";#N/A,#N/A,FALSE,"WP_P7";#N/A,#N/A,FALSE,"WP_P8";#N/A,#N/A,FALSE,"WP_Q_G1";#N/A,#N/A,FALSE,"WP_Q-G2";#N/A,#N/A,FALSE,"WP_Q-C1";#N/A,#N/A,FALSE,"WP_Q-C2";#N/A,#N/A,FALSE,"WP_Q-C3";#N/A,#N/A,FALSE,"WP_Q-C4";#N/A,#N/A,FALSE,"WP_Q-O1";#N/A,#N/A,FALSE,"WP_Q-O2";#N/A,#N/A,FALSE,"WP_Q-D";#N/A,#N/A,FALSE,"WP_Q-HR1";#N/A,#N/A,FALSE,"WP_Q-PP2";#N/A,#N/A,FALSE,"WP_Q-R1"}</definedName>
    <definedName name="wrn.SUP3." hidden="1">{#N/A,#N/A,FALSE,"WP_P1";#N/A,#N/A,FALSE,"WP_P2";#N/A,#N/A,FALSE,"WP_P4";#N/A,#N/A,FALSE,"WP_P5";#N/A,#N/A,FALSE,"WP_P6";#N/A,#N/A,FALSE,"WP_P7";#N/A,#N/A,FALSE,"WP_P8";#N/A,#N/A,FALSE,"WP_Q_G1";#N/A,#N/A,FALSE,"WP_Q-G2";#N/A,#N/A,FALSE,"WP_Q-C1";#N/A,#N/A,FALSE,"WP_Q-C2";#N/A,#N/A,FALSE,"WP_Q-C3";#N/A,#N/A,FALSE,"WP_Q-C4";#N/A,#N/A,FALSE,"WP_Q-O1";#N/A,#N/A,FALSE,"WP_Q-O2";#N/A,#N/A,FALSE,"WP_Q-D";#N/A,#N/A,FALSE,"WP_Q-HR1";#N/A,#N/A,FALSE,"WP_Q-PP2";#N/A,#N/A,FALSE,"WP_Q-R1"}</definedName>
    <definedName name="wrn.TAXES._.OTHER." localSheetId="1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wrn.Transmission." localSheetId="1" hidden="1">{"Transmission",#N/A,FALSE,"Electric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EATHER._.AND._.YR._.END._.CUST._.ADJ." localSheetId="1" hidden="1">{"WEATHER_CUSTOMERS",#N/A,FALSE,"Ok_Fuel&amp;Rev"}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wrn.WORKCAP." localSheetId="1" hidden="1">{"WCCWCLL",#N/A,FALSE,"Sheet3";"PP",#N/A,FALSE,"Sheet3";"MAT1",#N/A,FALSE,"Sheet3";"MAT2",#N/A,FALSE,"Sheet3"}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rn.Workpapers." localSheetId="1" hidden="1">{#N/A,#N/A,FALSE,"Summary";#N/A,#N/A,FALSE,"Option A";#N/A,#N/A,FALSE,"Option B";#N/A,#N/A,FALSE,"O&amp;M and Growth"}</definedName>
    <definedName name="wrn.Workpapers." hidden="1">{#N/A,#N/A,FALSE,"Summary";#N/A,#N/A,FALSE,"Option A";#N/A,#N/A,FALSE,"Option B";#N/A,#N/A,FALSE,"O&amp;M and Growth"}</definedName>
    <definedName name="wvu.DATABASE." localSheetId="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{TRUE,TRUE,-1.25,-15.5,484.5,279.75,FALSE,FALSE,TRUE,TRUE,0,1,#N/A,1,#N/A,4.39094650205761,21.0666666666667,1,FALSE,FALSE,3,TRUE,1,FALSE,75,"Swvu.DATABASE.","ACwvu.DATABASE.",1,FALSE,FALSE,0.5,0.5,0.5,0.77,2,"",0,0,0,0,0,0,0,0,0,0,0,0,0,0,0}</definedName>
    <definedName name="wvu.OP." localSheetId="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{TRUE,TRUE,-1.25,-15.5,484.5,279.75,FALSE,FALSE,TRUE,TRUE,0,1,#N/A,1,#N/A,5.69105691056911,21.0666666666667,1,FALSE,FALSE,3,TRUE,1,FALSE,75,"Swvu.OP.","ACwvu.OP.",1,FALSE,FALSE,0.535,0.535,0,0.73,2,"",0,0,0,0,0,0,0,0,0,0,0,0,0,0,0}</definedName>
    <definedName name="wvu.WP1.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{TRUE,TRUE,-1.25,-15.5,484.5,279.75,FALSE,FALSE,TRUE,TRUE,0,3,#N/A,1,#N/A,6.54545454545454,15.55,1,FALSE,FALSE,3,TRUE,1,FALSE,100,"Swvu.WP1.","ACwvu.WP1.",1,FALSE,FALSE,0.25,0.25,0.25,0.25,1,"",0,0,0,0,0,0,0,0,0,0,0,0,0,0,0}</definedName>
    <definedName name="Year_End_Customer_Adjustment">#REF!</definedName>
    <definedName name="YTDFERC">#REF!</definedName>
    <definedName name="YTDGAAP">#REF!</definedName>
  </definedNames>
  <calcPr fullCalcOnLoad="1"/>
</workbook>
</file>

<file path=xl/sharedStrings.xml><?xml version="1.0" encoding="utf-8"?>
<sst xmlns="http://schemas.openxmlformats.org/spreadsheetml/2006/main" count="266" uniqueCount="122">
  <si>
    <t>OG&amp;E</t>
  </si>
  <si>
    <t>NON-Protected CTD Bals -- Prov + Fed RTP Adjs</t>
  </si>
  <si>
    <t xml:space="preserve"> </t>
  </si>
  <si>
    <t xml:space="preserve">   &amp; Related Defd Tax Remeasurement Adjs</t>
  </si>
  <si>
    <t>PROV</t>
  </si>
  <si>
    <t>Worksheet C.3 - Presentation</t>
  </si>
  <si>
    <t xml:space="preserve">as of 12/31/17 </t>
  </si>
  <si>
    <t>12/31/2017  Prov</t>
  </si>
  <si>
    <t>Final</t>
  </si>
  <si>
    <t>LINE 17</t>
  </si>
  <si>
    <t>LINE 19</t>
  </si>
  <si>
    <t xml:space="preserve">ADIT DR. (CR.) </t>
  </si>
  <si>
    <t>FED RTP Adj</t>
  </si>
  <si>
    <t>12/31/17 TR</t>
  </si>
  <si>
    <t>Acct 254 LIAB</t>
  </si>
  <si>
    <t>Acct 182.3 ASSET</t>
  </si>
  <si>
    <t>Category</t>
  </si>
  <si>
    <t>CTD</t>
  </si>
  <si>
    <t>Tax Adj</t>
  </si>
  <si>
    <t>Annual Amort</t>
  </si>
  <si>
    <t>Non-Transmission</t>
  </si>
  <si>
    <t>Transmission</t>
  </si>
  <si>
    <t>Plant</t>
  </si>
  <si>
    <t>Labor</t>
  </si>
  <si>
    <t>Per PP CTD-ADIT Rpt - 10-K grouping</t>
  </si>
  <si>
    <t>5 Yr - SL</t>
  </si>
  <si>
    <t>Regulatory Tax Liabilities  (Fed CTD's)</t>
  </si>
  <si>
    <t xml:space="preserve">Pension, Including Reg Asset (OCI) </t>
  </si>
  <si>
    <t xml:space="preserve">Reg Assets, net of Reg Liabs </t>
  </si>
  <si>
    <t xml:space="preserve">        Defd Storm Exp  </t>
  </si>
  <si>
    <t xml:space="preserve">        Smart Grid</t>
  </si>
  <si>
    <t xml:space="preserve">        Big 7 Trans AFUDC</t>
  </si>
  <si>
    <t xml:space="preserve">       Pension &amp; PR Med Reg Liabs</t>
  </si>
  <si>
    <t xml:space="preserve">       Other</t>
  </si>
  <si>
    <t>Bond Redemptions</t>
  </si>
  <si>
    <t>Income Taxes Recoverable , BEFORE 2017 Fed Rate Change</t>
  </si>
  <si>
    <t>Fed Defd ITC - Solar (Cur/Def Reclass)</t>
  </si>
  <si>
    <t xml:space="preserve">           Fed Pre-Tax CTD</t>
  </si>
  <si>
    <t xml:space="preserve">Combined Rate Adj Decrease </t>
  </si>
  <si>
    <t>ADIT Adj  (Pos ADIT Adj = Reg Tax LIAB) / Amort   BEFORE Gross-up</t>
  </si>
  <si>
    <t>(1)</t>
  </si>
  <si>
    <t>Reg Tax LIAB</t>
  </si>
  <si>
    <t>Regulatory Tax Assets  (Fed CTD's)</t>
  </si>
  <si>
    <t>Reg Liabilities - ARO Liability</t>
  </si>
  <si>
    <t>Post Retirement Life/Medical</t>
  </si>
  <si>
    <t>Accrued Vacation</t>
  </si>
  <si>
    <t>Workers Comp</t>
  </si>
  <si>
    <t>Other - Assets &amp; RTP Rdg Adj</t>
  </si>
  <si>
    <t>(a)</t>
  </si>
  <si>
    <t>Kaw Lake</t>
  </si>
  <si>
    <t>Other - Liabilities</t>
  </si>
  <si>
    <t>(b)</t>
  </si>
  <si>
    <t>Uncollectible Accounts</t>
  </si>
  <si>
    <t>ADIT Adj  (Neg ADIT Adj = Reg Tax Asset) / Amort - BEFORE Gross-up</t>
  </si>
  <si>
    <t>(2)</t>
  </si>
  <si>
    <t>Reg Tax ASSET</t>
  </si>
  <si>
    <t>Subtotal - FED Temp Diffs (no NOLs, Credits)</t>
  </si>
  <si>
    <t>Excess/Decrease Defd Tax Adj - Fed CTD's</t>
  </si>
  <si>
    <t>*</t>
  </si>
  <si>
    <t xml:space="preserve">            Posted to Reg Liab (before gross-up)</t>
  </si>
  <si>
    <t xml:space="preserve">  ADD:  Non-Fed CTD Deferred Items:</t>
  </si>
  <si>
    <t>Add'l Regulatory Tax Liabilities  (State Adjs)</t>
  </si>
  <si>
    <t xml:space="preserve">OK NOL Carryforward  </t>
  </si>
  <si>
    <t xml:space="preserve">State Tax Rate Adj, net of Fed Rate Adj </t>
  </si>
  <si>
    <t>ADIT Adj  (Pos ADIT Adj = Reg Tax Liab) / Amort  BEFORE Gross-up</t>
  </si>
  <si>
    <t>State Tax Credits - at gross, excludes Purchd Credits</t>
  </si>
  <si>
    <t xml:space="preserve">State net of Fed Rate Adj </t>
  </si>
  <si>
    <t xml:space="preserve"> Rounding Adjustments</t>
  </si>
  <si>
    <t>Total NonProtected  NET ADIT Adj / Amort   BEFORE Gross-up</t>
  </si>
  <si>
    <t xml:space="preserve"> = Sum *'s</t>
  </si>
  <si>
    <t xml:space="preserve">  (OTHER UnProtected  items - Excludes UnProt Prop)</t>
  </si>
  <si>
    <t>C.3, Line 17</t>
  </si>
  <si>
    <t>C.3, Line 19</t>
  </si>
  <si>
    <t>RTP Adj</t>
  </si>
  <si>
    <t>TOTAL</t>
  </si>
  <si>
    <t>RECAP:   Non-Protected Items</t>
  </si>
  <si>
    <t xml:space="preserve">ADIT Adj </t>
  </si>
  <si>
    <t>Dr. / (Cr.)</t>
  </si>
  <si>
    <t>Bal 12/31/18, before Amort</t>
  </si>
  <si>
    <t>RESTATED:   Total UN-Protected, All, Net - Restated Allocations for UnProtected PROP and Other UnProtected - for Worksheet C. TCJA Allocations :*</t>
  </si>
  <si>
    <t>12/31/20</t>
  </si>
  <si>
    <t>12/31/21</t>
  </si>
  <si>
    <t>Total NON-Protected - Reg Tax LIABILITIES - BEFORE Gross-up</t>
  </si>
  <si>
    <t>sum (1)'s</t>
  </si>
  <si>
    <t>Acct 254, Wksht C.1,</t>
  </si>
  <si>
    <t>Worksheet C, Acct 254</t>
  </si>
  <si>
    <t>BOY</t>
  </si>
  <si>
    <t>EOY</t>
  </si>
  <si>
    <t>Avg</t>
  </si>
  <si>
    <t xml:space="preserve">  ck total</t>
  </si>
  <si>
    <t>Total NON-Protected - Reg Tax ASSETS - BEFORE Gross-up</t>
  </si>
  <si>
    <t>Acct 182, Wksht C.1</t>
  </si>
  <si>
    <t>2017 TCJA Rate Chg - Liab. before Gross-up - Unprotected  Property in Liab</t>
  </si>
  <si>
    <t>2017 TCJA Rate Chg - Liab. before Gross-up - Unprotected Other Liab</t>
  </si>
  <si>
    <t>Total NonProtected  NET ADIT Adj / Amort  - BEFORE Gross-up</t>
  </si>
  <si>
    <t>Total UnProtected, Liab , before Gross-up</t>
  </si>
  <si>
    <t xml:space="preserve"> ------    to Worksheet C.1   -------</t>
  </si>
  <si>
    <t>Gross-Up  %</t>
  </si>
  <si>
    <t>Worksheet C, Acct 182.3</t>
  </si>
  <si>
    <t>Total NonProtected  NET ADIT Adj / Amort  - WITH Gross-up</t>
  </si>
  <si>
    <t>2017 TCJA Rate Chg - Asset,  before Gross-up  - Unprotected</t>
  </si>
  <si>
    <t>To Worksheet C, Line 221</t>
  </si>
  <si>
    <t>UnProtected PROPERTY - Reg Tax Liab</t>
  </si>
  <si>
    <t>Amort - 5yr-SL</t>
  </si>
  <si>
    <t xml:space="preserve">NON-Protected CTD Bals -- </t>
  </si>
  <si>
    <t xml:space="preserve">   &amp; Related Defd Tax Remeasurement Adjs -   OKLA Rate Change</t>
  </si>
  <si>
    <t xml:space="preserve">   ADIT Balances at 1/1/21             - RECORDED MAY 2021</t>
  </si>
  <si>
    <t>Bal at  1/1/21</t>
  </si>
  <si>
    <t>12/31/21 TR</t>
  </si>
  <si>
    <t>Acct 182.3 ASSET  (included in Net Acct 254 Liab)</t>
  </si>
  <si>
    <t>Per PP CTD-ADIT - 10-K Rpt</t>
  </si>
  <si>
    <t>N/A for 2021</t>
  </si>
  <si>
    <t xml:space="preserve">PROPERTY </t>
  </si>
  <si>
    <t xml:space="preserve">               Total Reg Assets, net of Reg Liabs </t>
  </si>
  <si>
    <t>Income Taxes Recoverable , BEFORE 2021 OKLA Rate Change</t>
  </si>
  <si>
    <t xml:space="preserve">Other - Assets </t>
  </si>
  <si>
    <t>x</t>
  </si>
  <si>
    <t>Reg Tax - opp sign</t>
  </si>
  <si>
    <t>Net Reg Tax LIAB</t>
  </si>
  <si>
    <t xml:space="preserve">          --------------      Alloc %'s applied in Worksheet C     ---------------</t>
  </si>
  <si>
    <t>TOTAL Reg TAX ASSET</t>
  </si>
  <si>
    <t xml:space="preserve">   --------   Worksheet C, Line 190-191 -------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</si>
</sst>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%"/>
    <numFmt numFmtId="167" formatCode="0.000000%"/>
    <numFmt numFmtId="168" formatCode="0.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Arial MT"/>
      <family val="0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3"/>
      <name val="Calibri"/>
      <family val="2"/>
    </font>
    <font>
      <b/>
      <sz val="10"/>
      <color indexed="3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FFFF00"/>
      <name val="Calibri"/>
      <family val="2"/>
    </font>
    <font>
      <b/>
      <sz val="10"/>
      <color rgb="FF0070C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164" fontId="4" fillId="0" borderId="0" applyProtection="0">
      <alignment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55" applyAlignment="1">
      <alignment horizontal="center"/>
      <protection/>
    </xf>
    <xf numFmtId="0" fontId="55" fillId="0" borderId="0" xfId="55" applyFont="1" applyAlignment="1">
      <alignment horizontal="left"/>
      <protection/>
    </xf>
    <xf numFmtId="41" fontId="0" fillId="0" borderId="0" xfId="55" applyNumberFormat="1">
      <alignment/>
      <protection/>
    </xf>
    <xf numFmtId="0" fontId="0" fillId="0" borderId="0" xfId="55">
      <alignment/>
      <protection/>
    </xf>
    <xf numFmtId="14" fontId="55" fillId="0" borderId="0" xfId="55" applyNumberFormat="1" applyFont="1" applyAlignment="1">
      <alignment horizontal="center"/>
      <protection/>
    </xf>
    <xf numFmtId="164" fontId="57" fillId="0" borderId="0" xfId="56" applyFont="1" applyAlignment="1" applyProtection="1">
      <alignment horizontal="center"/>
      <protection locked="0"/>
    </xf>
    <xf numFmtId="164" fontId="57" fillId="0" borderId="0" xfId="56" applyFont="1" applyProtection="1" quotePrefix="1">
      <alignment/>
      <protection locked="0"/>
    </xf>
    <xf numFmtId="41" fontId="0" fillId="0" borderId="0" xfId="55" applyNumberFormat="1" applyAlignment="1">
      <alignment horizontal="center"/>
      <protection/>
    </xf>
    <xf numFmtId="0" fontId="55" fillId="0" borderId="0" xfId="55" applyFont="1">
      <alignment/>
      <protection/>
    </xf>
    <xf numFmtId="41" fontId="7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5" fillId="0" borderId="10" xfId="55" applyFont="1" applyBorder="1" applyAlignment="1">
      <alignment horizontal="center"/>
      <protection/>
    </xf>
    <xf numFmtId="41" fontId="55" fillId="0" borderId="10" xfId="55" applyNumberFormat="1" applyFont="1" applyBorder="1" applyAlignment="1">
      <alignment horizontal="center"/>
      <protection/>
    </xf>
    <xf numFmtId="41" fontId="0" fillId="0" borderId="10" xfId="55" applyNumberFormat="1" applyBorder="1" applyAlignment="1">
      <alignment horizontal="center"/>
      <protection/>
    </xf>
    <xf numFmtId="165" fontId="7" fillId="0" borderId="10" xfId="60" applyNumberFormat="1" applyFont="1" applyFill="1" applyBorder="1" applyAlignment="1">
      <alignment horizontal="center"/>
    </xf>
    <xf numFmtId="9" fontId="7" fillId="0" borderId="10" xfId="60" applyFont="1" applyFill="1" applyBorder="1" applyAlignment="1">
      <alignment horizontal="center"/>
    </xf>
    <xf numFmtId="41" fontId="0" fillId="0" borderId="11" xfId="55" applyNumberFormat="1" applyBorder="1" applyAlignment="1">
      <alignment horizontal="center"/>
      <protection/>
    </xf>
    <xf numFmtId="41" fontId="7" fillId="0" borderId="0" xfId="55" applyNumberFormat="1" applyFont="1" applyAlignment="1">
      <alignment horizontal="left"/>
      <protection/>
    </xf>
    <xf numFmtId="166" fontId="0" fillId="0" borderId="0" xfId="60" applyNumberFormat="1" applyFont="1" applyFill="1" applyAlignment="1" quotePrefix="1">
      <alignment/>
    </xf>
    <xf numFmtId="41" fontId="0" fillId="0" borderId="12" xfId="55" applyNumberFormat="1" applyBorder="1" applyAlignment="1">
      <alignment horizontal="center"/>
      <protection/>
    </xf>
    <xf numFmtId="0" fontId="55" fillId="0" borderId="13" xfId="55" applyFont="1" applyBorder="1">
      <alignment/>
      <protection/>
    </xf>
    <xf numFmtId="41" fontId="0" fillId="0" borderId="12" xfId="55" applyNumberFormat="1" applyBorder="1">
      <alignment/>
      <protection/>
    </xf>
    <xf numFmtId="9" fontId="0" fillId="0" borderId="0" xfId="55" applyNumberFormat="1">
      <alignment/>
      <protection/>
    </xf>
    <xf numFmtId="41" fontId="0" fillId="0" borderId="0" xfId="55" applyNumberFormat="1" quotePrefix="1">
      <alignment/>
      <protection/>
    </xf>
    <xf numFmtId="9" fontId="0" fillId="0" borderId="0" xfId="60" applyFont="1" applyFill="1" applyAlignment="1" quotePrefix="1">
      <alignment/>
    </xf>
    <xf numFmtId="41" fontId="0" fillId="0" borderId="12" xfId="55" applyNumberFormat="1" applyBorder="1" quotePrefix="1">
      <alignment/>
      <protection/>
    </xf>
    <xf numFmtId="9" fontId="7" fillId="0" borderId="0" xfId="60" applyFont="1" applyFill="1" applyAlignment="1">
      <alignment horizontal="center"/>
    </xf>
    <xf numFmtId="9" fontId="7" fillId="0" borderId="0" xfId="60" applyFont="1" applyFill="1" applyAlignment="1">
      <alignment/>
    </xf>
    <xf numFmtId="41" fontId="7" fillId="0" borderId="0" xfId="60" applyNumberFormat="1" applyFont="1" applyFill="1" applyAlignment="1">
      <alignment horizontal="center"/>
    </xf>
    <xf numFmtId="41" fontId="0" fillId="0" borderId="14" xfId="55" applyNumberFormat="1" applyBorder="1">
      <alignment/>
      <protection/>
    </xf>
    <xf numFmtId="41" fontId="0" fillId="0" borderId="14" xfId="55" applyNumberFormat="1" applyBorder="1" quotePrefix="1">
      <alignment/>
      <protection/>
    </xf>
    <xf numFmtId="0" fontId="0" fillId="0" borderId="0" xfId="55" applyAlignment="1" quotePrefix="1">
      <alignment horizontal="center"/>
      <protection/>
    </xf>
    <xf numFmtId="0" fontId="7" fillId="0" borderId="0" xfId="55" applyFont="1">
      <alignment/>
      <protection/>
    </xf>
    <xf numFmtId="41" fontId="7" fillId="0" borderId="13" xfId="55" applyNumberFormat="1" applyFont="1" applyBorder="1">
      <alignment/>
      <protection/>
    </xf>
    <xf numFmtId="41" fontId="7" fillId="0" borderId="0" xfId="55" applyNumberFormat="1" applyFont="1">
      <alignment/>
      <protection/>
    </xf>
    <xf numFmtId="41" fontId="7" fillId="0" borderId="13" xfId="55" applyNumberFormat="1" applyFont="1" applyBorder="1" quotePrefix="1">
      <alignment/>
      <protection/>
    </xf>
    <xf numFmtId="41" fontId="7" fillId="0" borderId="0" xfId="55" applyNumberFormat="1" applyFont="1" quotePrefix="1">
      <alignment/>
      <protection/>
    </xf>
    <xf numFmtId="41" fontId="0" fillId="0" borderId="0" xfId="55" applyNumberFormat="1" applyAlignment="1" quotePrefix="1">
      <alignment horizontal="center"/>
      <protection/>
    </xf>
    <xf numFmtId="166" fontId="7" fillId="0" borderId="0" xfId="55" applyNumberFormat="1" applyFont="1">
      <alignment/>
      <protection/>
    </xf>
    <xf numFmtId="41" fontId="7" fillId="0" borderId="12" xfId="55" applyNumberFormat="1" applyFont="1" applyBorder="1">
      <alignment/>
      <protection/>
    </xf>
    <xf numFmtId="0" fontId="8" fillId="0" borderId="0" xfId="55" applyFont="1">
      <alignment/>
      <protection/>
    </xf>
    <xf numFmtId="41" fontId="7" fillId="0" borderId="14" xfId="55" applyNumberFormat="1" applyFont="1" applyBorder="1">
      <alignment/>
      <protection/>
    </xf>
    <xf numFmtId="41" fontId="9" fillId="0" borderId="0" xfId="55" applyNumberFormat="1" applyFont="1" applyAlignment="1" quotePrefix="1">
      <alignment horizontal="center"/>
      <protection/>
    </xf>
    <xf numFmtId="41" fontId="7" fillId="0" borderId="15" xfId="55" applyNumberFormat="1" applyFont="1" applyBorder="1">
      <alignment/>
      <protection/>
    </xf>
    <xf numFmtId="41" fontId="10" fillId="0" borderId="0" xfId="55" applyNumberFormat="1" applyFont="1" applyAlignment="1" quotePrefix="1">
      <alignment horizontal="center"/>
      <protection/>
    </xf>
    <xf numFmtId="41" fontId="10" fillId="0" borderId="12" xfId="55" applyNumberFormat="1" applyFont="1" applyBorder="1" applyAlignment="1" quotePrefix="1">
      <alignment horizontal="center"/>
      <protection/>
    </xf>
    <xf numFmtId="0" fontId="11" fillId="0" borderId="13" xfId="55" applyFont="1" applyBorder="1">
      <alignment/>
      <protection/>
    </xf>
    <xf numFmtId="9" fontId="7" fillId="0" borderId="0" xfId="60" applyFont="1" applyFill="1" applyAlignment="1" quotePrefix="1">
      <alignment/>
    </xf>
    <xf numFmtId="41" fontId="7" fillId="0" borderId="0" xfId="55" applyNumberFormat="1" applyFont="1" applyAlignment="1" quotePrefix="1">
      <alignment horizontal="center"/>
      <protection/>
    </xf>
    <xf numFmtId="41" fontId="7" fillId="0" borderId="12" xfId="55" applyNumberFormat="1" applyFont="1" applyBorder="1" quotePrefix="1">
      <alignment/>
      <protection/>
    </xf>
    <xf numFmtId="0" fontId="7" fillId="0" borderId="0" xfId="55" applyFont="1" applyAlignment="1">
      <alignment horizontal="center"/>
      <protection/>
    </xf>
    <xf numFmtId="41" fontId="7" fillId="0" borderId="16" xfId="55" applyNumberFormat="1" applyFont="1" applyBorder="1">
      <alignment/>
      <protection/>
    </xf>
    <xf numFmtId="9" fontId="7" fillId="0" borderId="0" xfId="55" applyNumberFormat="1" applyFont="1">
      <alignment/>
      <protection/>
    </xf>
    <xf numFmtId="41" fontId="55" fillId="0" borderId="0" xfId="55" applyNumberFormat="1" applyFont="1">
      <alignment/>
      <protection/>
    </xf>
    <xf numFmtId="41" fontId="10" fillId="0" borderId="0" xfId="55" applyNumberFormat="1" applyFont="1" applyAlignment="1" quotePrefix="1">
      <alignment horizontal="left"/>
      <protection/>
    </xf>
    <xf numFmtId="41" fontId="58" fillId="0" borderId="0" xfId="55" applyNumberFormat="1" applyFont="1" applyAlignment="1" quotePrefix="1">
      <alignment horizontal="center"/>
      <protection/>
    </xf>
    <xf numFmtId="41" fontId="10" fillId="0" borderId="12" xfId="55" applyNumberFormat="1" applyFont="1" applyBorder="1" applyAlignment="1" quotePrefix="1">
      <alignment horizontal="left"/>
      <protection/>
    </xf>
    <xf numFmtId="41" fontId="58" fillId="0" borderId="0" xfId="55" applyNumberFormat="1" applyFont="1" applyAlignment="1" quotePrefix="1">
      <alignment horizontal="left"/>
      <protection/>
    </xf>
    <xf numFmtId="41" fontId="13" fillId="0" borderId="0" xfId="55" applyNumberFormat="1" applyFont="1" applyAlignment="1">
      <alignment horizontal="left"/>
      <protection/>
    </xf>
    <xf numFmtId="0" fontId="7" fillId="0" borderId="12" xfId="55" applyFont="1" applyBorder="1">
      <alignment/>
      <protection/>
    </xf>
    <xf numFmtId="0" fontId="11" fillId="0" borderId="0" xfId="55" applyFont="1">
      <alignment/>
      <protection/>
    </xf>
    <xf numFmtId="0" fontId="59" fillId="0" borderId="0" xfId="55" applyFont="1">
      <alignment/>
      <protection/>
    </xf>
    <xf numFmtId="0" fontId="13" fillId="0" borderId="0" xfId="55" applyFont="1">
      <alignment/>
      <protection/>
    </xf>
    <xf numFmtId="0" fontId="15" fillId="0" borderId="0" xfId="55" applyFont="1">
      <alignment/>
      <protection/>
    </xf>
    <xf numFmtId="165" fontId="56" fillId="0" borderId="0" xfId="59" applyNumberFormat="1" applyFont="1" applyFill="1" applyAlignment="1">
      <alignment/>
    </xf>
    <xf numFmtId="10" fontId="7" fillId="0" borderId="0" xfId="55" applyNumberFormat="1" applyFont="1">
      <alignment/>
      <protection/>
    </xf>
    <xf numFmtId="41" fontId="7" fillId="0" borderId="17" xfId="55" applyNumberFormat="1" applyFont="1" applyBorder="1">
      <alignment/>
      <protection/>
    </xf>
    <xf numFmtId="0" fontId="60" fillId="0" borderId="0" xfId="55" applyFont="1">
      <alignment/>
      <protection/>
    </xf>
    <xf numFmtId="41" fontId="7" fillId="0" borderId="0" xfId="55" applyNumberFormat="1" applyFont="1" applyAlignment="1">
      <alignment horizontal="right"/>
      <protection/>
    </xf>
    <xf numFmtId="165" fontId="7" fillId="0" borderId="0" xfId="60" applyNumberFormat="1" applyFont="1" applyFill="1" applyAlignment="1">
      <alignment horizontal="center"/>
    </xf>
    <xf numFmtId="41" fontId="15" fillId="0" borderId="0" xfId="55" applyNumberFormat="1" applyFont="1" applyAlignment="1" quotePrefix="1">
      <alignment horizontal="left"/>
      <protection/>
    </xf>
    <xf numFmtId="0" fontId="7" fillId="0" borderId="13" xfId="55" applyFont="1" applyBorder="1" applyAlignment="1">
      <alignment horizontal="center"/>
      <protection/>
    </xf>
    <xf numFmtId="41" fontId="7" fillId="0" borderId="13" xfId="55" applyNumberFormat="1" applyFont="1" applyBorder="1" applyAlignment="1">
      <alignment horizontal="center"/>
      <protection/>
    </xf>
    <xf numFmtId="9" fontId="7" fillId="0" borderId="0" xfId="59" applyFont="1" applyFill="1" applyAlignment="1" quotePrefix="1">
      <alignment horizontal="center"/>
    </xf>
    <xf numFmtId="9" fontId="7" fillId="0" borderId="0" xfId="59" applyFont="1" applyFill="1" applyAlignment="1">
      <alignment/>
    </xf>
    <xf numFmtId="41" fontId="15" fillId="0" borderId="0" xfId="55" applyNumberFormat="1" applyFont="1">
      <alignment/>
      <protection/>
    </xf>
    <xf numFmtId="41" fontId="55" fillId="0" borderId="18" xfId="55" applyNumberFormat="1" applyFont="1" applyBorder="1">
      <alignment/>
      <protection/>
    </xf>
    <xf numFmtId="0" fontId="16" fillId="0" borderId="0" xfId="55" applyFont="1">
      <alignment/>
      <protection/>
    </xf>
    <xf numFmtId="9" fontId="7" fillId="0" borderId="0" xfId="55" applyNumberFormat="1" applyFont="1" applyAlignment="1">
      <alignment horizontal="center"/>
      <protection/>
    </xf>
    <xf numFmtId="41" fontId="11" fillId="0" borderId="0" xfId="55" applyNumberFormat="1" applyFont="1">
      <alignment/>
      <protection/>
    </xf>
    <xf numFmtId="41" fontId="15" fillId="0" borderId="0" xfId="55" applyNumberFormat="1" applyFont="1" applyAlignment="1">
      <alignment horizontal="center"/>
      <protection/>
    </xf>
    <xf numFmtId="166" fontId="0" fillId="0" borderId="0" xfId="55" applyNumberFormat="1">
      <alignment/>
      <protection/>
    </xf>
    <xf numFmtId="41" fontId="61" fillId="0" borderId="0" xfId="55" applyNumberFormat="1" applyFont="1" applyAlignment="1">
      <alignment horizontal="center"/>
      <protection/>
    </xf>
    <xf numFmtId="41" fontId="55" fillId="0" borderId="14" xfId="55" applyNumberFormat="1" applyFont="1" applyBorder="1">
      <alignment/>
      <protection/>
    </xf>
    <xf numFmtId="41" fontId="61" fillId="0" borderId="14" xfId="55" applyNumberFormat="1" applyFont="1" applyBorder="1">
      <alignment/>
      <protection/>
    </xf>
    <xf numFmtId="166" fontId="7" fillId="0" borderId="13" xfId="55" applyNumberFormat="1" applyFont="1" applyBorder="1">
      <alignment/>
      <protection/>
    </xf>
    <xf numFmtId="41" fontId="7" fillId="0" borderId="15" xfId="55" applyNumberFormat="1" applyFont="1" applyBorder="1" applyAlignment="1">
      <alignment horizontal="center"/>
      <protection/>
    </xf>
    <xf numFmtId="41" fontId="55" fillId="0" borderId="15" xfId="55" applyNumberFormat="1" applyFont="1" applyBorder="1">
      <alignment/>
      <protection/>
    </xf>
    <xf numFmtId="41" fontId="61" fillId="0" borderId="15" xfId="55" applyNumberFormat="1" applyFont="1" applyBorder="1" applyAlignment="1">
      <alignment horizontal="center"/>
      <protection/>
    </xf>
    <xf numFmtId="41" fontId="56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left"/>
      <protection/>
    </xf>
    <xf numFmtId="41" fontId="56" fillId="0" borderId="0" xfId="55" applyNumberFormat="1" applyFont="1" applyAlignment="1" quotePrefix="1">
      <alignment horizontal="center"/>
      <protection/>
    </xf>
    <xf numFmtId="41" fontId="55" fillId="0" borderId="19" xfId="55" applyNumberFormat="1" applyFont="1" applyBorder="1">
      <alignment/>
      <protection/>
    </xf>
    <xf numFmtId="41" fontId="56" fillId="0" borderId="0" xfId="55" applyNumberFormat="1" applyFont="1">
      <alignment/>
      <protection/>
    </xf>
    <xf numFmtId="41" fontId="61" fillId="0" borderId="0" xfId="55" applyNumberFormat="1" applyFont="1">
      <alignment/>
      <protection/>
    </xf>
    <xf numFmtId="14" fontId="60" fillId="0" borderId="0" xfId="55" applyNumberFormat="1" applyFont="1" applyAlignment="1">
      <alignment horizontal="center"/>
      <protection/>
    </xf>
    <xf numFmtId="41" fontId="15" fillId="0" borderId="0" xfId="55" applyNumberFormat="1" applyFont="1" applyAlignment="1">
      <alignment horizontal="left"/>
      <protection/>
    </xf>
    <xf numFmtId="167" fontId="0" fillId="0" borderId="0" xfId="60" applyNumberFormat="1" applyFont="1" applyFill="1" applyAlignment="1" quotePrefix="1">
      <alignment/>
    </xf>
    <xf numFmtId="0" fontId="62" fillId="0" borderId="0" xfId="55" applyFont="1" applyAlignment="1">
      <alignment horizontal="center"/>
      <protection/>
    </xf>
    <xf numFmtId="41" fontId="60" fillId="0" borderId="0" xfId="55" applyNumberFormat="1" applyFont="1" applyAlignment="1">
      <alignment horizontal="center"/>
      <protection/>
    </xf>
    <xf numFmtId="41" fontId="63" fillId="0" borderId="0" xfId="55" applyNumberFormat="1" applyFont="1" applyAlignment="1" quotePrefix="1">
      <alignment horizontal="center"/>
      <protection/>
    </xf>
    <xf numFmtId="0" fontId="64" fillId="0" borderId="0" xfId="55" applyFont="1" applyAlignment="1">
      <alignment horizontal="center"/>
      <protection/>
    </xf>
    <xf numFmtId="41" fontId="60" fillId="0" borderId="0" xfId="55" applyNumberFormat="1" applyFont="1">
      <alignment/>
      <protection/>
    </xf>
    <xf numFmtId="41" fontId="65" fillId="0" borderId="0" xfId="55" applyNumberFormat="1" applyFont="1" quotePrefix="1">
      <alignment/>
      <protection/>
    </xf>
    <xf numFmtId="41" fontId="65" fillId="0" borderId="0" xfId="55" applyNumberFormat="1" applyFont="1">
      <alignment/>
      <protection/>
    </xf>
    <xf numFmtId="9" fontId="65" fillId="0" borderId="0" xfId="60" applyFont="1" applyFill="1" applyAlignment="1">
      <alignment horizontal="center"/>
    </xf>
    <xf numFmtId="41" fontId="11" fillId="0" borderId="14" xfId="55" applyNumberFormat="1" applyFont="1" applyBorder="1">
      <alignment/>
      <protection/>
    </xf>
    <xf numFmtId="41" fontId="66" fillId="0" borderId="0" xfId="55" applyNumberFormat="1" applyFont="1" applyAlignment="1" quotePrefix="1">
      <alignment horizontal="center"/>
      <protection/>
    </xf>
    <xf numFmtId="0" fontId="67" fillId="0" borderId="0" xfId="55" applyFont="1" applyAlignment="1">
      <alignment horizontal="right"/>
      <protection/>
    </xf>
    <xf numFmtId="165" fontId="60" fillId="0" borderId="0" xfId="59" applyNumberFormat="1" applyFont="1" applyFill="1" applyAlignment="1">
      <alignment/>
    </xf>
    <xf numFmtId="168" fontId="7" fillId="0" borderId="0" xfId="60" applyNumberFormat="1" applyFont="1" applyFill="1" applyAlignment="1">
      <alignment horizontal="center"/>
    </xf>
    <xf numFmtId="10" fontId="7" fillId="0" borderId="0" xfId="60" applyNumberFormat="1" applyFont="1" applyFill="1" applyAlignment="1">
      <alignment horizontal="center"/>
    </xf>
    <xf numFmtId="0" fontId="68" fillId="0" borderId="0" xfId="55" applyFont="1" applyAlignment="1">
      <alignment horizontal="center"/>
      <protection/>
    </xf>
    <xf numFmtId="41" fontId="68" fillId="0" borderId="0" xfId="55" applyNumberFormat="1" applyFont="1">
      <alignment/>
      <protection/>
    </xf>
    <xf numFmtId="41" fontId="11" fillId="0" borderId="15" xfId="55" applyNumberFormat="1" applyFont="1" applyBorder="1">
      <alignment/>
      <protection/>
    </xf>
    <xf numFmtId="41" fontId="0" fillId="0" borderId="15" xfId="55" applyNumberFormat="1" applyFill="1" applyBorder="1">
      <alignment/>
      <protection/>
    </xf>
    <xf numFmtId="41" fontId="7" fillId="0" borderId="0" xfId="55" applyNumberFormat="1" applyFont="1" applyFill="1">
      <alignment/>
      <protection/>
    </xf>
    <xf numFmtId="41" fontId="69" fillId="0" borderId="0" xfId="55" applyNumberFormat="1" applyFont="1" applyBorder="1" applyAlignment="1">
      <alignment horizontal="center"/>
      <protection/>
    </xf>
    <xf numFmtId="41" fontId="61" fillId="0" borderId="0" xfId="55" applyNumberFormat="1" applyFont="1" applyBorder="1">
      <alignment/>
      <protection/>
    </xf>
    <xf numFmtId="41" fontId="61" fillId="0" borderId="0" xfId="55" applyNumberFormat="1" applyFont="1" applyBorder="1" applyAlignment="1">
      <alignment horizontal="center"/>
      <protection/>
    </xf>
    <xf numFmtId="41" fontId="0" fillId="0" borderId="0" xfId="55" applyNumberFormat="1" applyBorder="1">
      <alignment/>
      <protection/>
    </xf>
    <xf numFmtId="41" fontId="56" fillId="0" borderId="0" xfId="55" applyNumberFormat="1" applyFont="1" applyAlignment="1">
      <alignment horizontal="center"/>
      <protection/>
    </xf>
    <xf numFmtId="41" fontId="70" fillId="0" borderId="13" xfId="55" applyNumberFormat="1" applyFont="1" applyBorder="1" applyAlignment="1">
      <alignment horizontal="center"/>
      <protection/>
    </xf>
    <xf numFmtId="41" fontId="70" fillId="0" borderId="14" xfId="55" applyNumberFormat="1" applyFont="1" applyBorder="1" applyAlignment="1">
      <alignment horizontal="center"/>
      <protection/>
    </xf>
    <xf numFmtId="41" fontId="70" fillId="0" borderId="20" xfId="55" applyNumberFormat="1" applyFont="1" applyBorder="1" applyAlignment="1">
      <alignment horizontal="center"/>
      <protection/>
    </xf>
    <xf numFmtId="41" fontId="0" fillId="0" borderId="16" xfId="55" applyNumberFormat="1" applyBorder="1" applyAlignment="1">
      <alignment horizontal="center"/>
      <protection/>
    </xf>
    <xf numFmtId="41" fontId="0" fillId="0" borderId="21" xfId="55" applyNumberFormat="1" applyBorder="1" applyAlignment="1">
      <alignment horizontal="center"/>
      <protection/>
    </xf>
    <xf numFmtId="41" fontId="0" fillId="0" borderId="22" xfId="55" applyNumberFormat="1" applyBorder="1" applyAlignment="1">
      <alignment horizontal="center"/>
      <protection/>
    </xf>
    <xf numFmtId="41" fontId="56" fillId="0" borderId="16" xfId="55" applyNumberFormat="1" applyFont="1" applyFill="1" applyBorder="1" applyAlignment="1">
      <alignment horizontal="center"/>
      <protection/>
    </xf>
    <xf numFmtId="9" fontId="56" fillId="0" borderId="0" xfId="55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9 3 2 2" xfId="55"/>
    <cellStyle name="Normal_FN1 Ratebase Draft SPP template (6-11-04) v2" xfId="56"/>
    <cellStyle name="Note" xfId="57"/>
    <cellStyle name="Output" xfId="58"/>
    <cellStyle name="Percent" xfId="59"/>
    <cellStyle name="Percent 3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7"/>
  <sheetViews>
    <sheetView tabSelected="1" zoomScale="87" zoomScaleNormal="87" zoomScalePageLayoutView="0" workbookViewId="0" topLeftCell="A1">
      <selection activeCell="B1" sqref="B1"/>
    </sheetView>
  </sheetViews>
  <sheetFormatPr defaultColWidth="9.140625" defaultRowHeight="15"/>
  <cols>
    <col min="1" max="1" width="5.421875" style="1" customWidth="1"/>
    <col min="2" max="2" width="62.8515625" style="4" customWidth="1"/>
    <col min="3" max="3" width="12.7109375" style="1" customWidth="1"/>
    <col min="4" max="4" width="18.140625" style="3" customWidth="1"/>
    <col min="5" max="5" width="6.8515625" style="3" customWidth="1"/>
    <col min="6" max="6" width="17.8515625" style="3" customWidth="1"/>
    <col min="7" max="7" width="19.57421875" style="3" customWidth="1"/>
    <col min="8" max="8" width="2.28125" style="3" customWidth="1"/>
    <col min="9" max="9" width="17.28125" style="3" customWidth="1"/>
    <col min="10" max="10" width="10.28125" style="3" customWidth="1"/>
    <col min="11" max="11" width="17.28125" style="3" customWidth="1"/>
    <col min="12" max="12" width="18.140625" style="3" customWidth="1"/>
    <col min="13" max="13" width="13.8515625" style="3" bestFit="1" customWidth="1"/>
    <col min="14" max="14" width="16.57421875" style="3" customWidth="1"/>
    <col min="15" max="15" width="17.00390625" style="3" customWidth="1"/>
    <col min="16" max="16" width="15.421875" style="3" bestFit="1" customWidth="1"/>
    <col min="17" max="17" width="19.28125" style="3" customWidth="1"/>
    <col min="18" max="18" width="21.28125" style="3" customWidth="1"/>
    <col min="19" max="19" width="14.00390625" style="3" customWidth="1"/>
    <col min="20" max="20" width="19.00390625" style="3" bestFit="1" customWidth="1"/>
    <col min="21" max="21" width="15.7109375" style="3" customWidth="1"/>
    <col min="22" max="22" width="15.57421875" style="3" customWidth="1"/>
    <col min="23" max="23" width="20.28125" style="3" customWidth="1"/>
    <col min="24" max="24" width="18.8515625" style="3" customWidth="1"/>
    <col min="25" max="25" width="16.57421875" style="3" customWidth="1"/>
    <col min="26" max="26" width="20.8515625" style="3" customWidth="1"/>
    <col min="27" max="27" width="19.421875" style="3" customWidth="1"/>
    <col min="28" max="28" width="13.8515625" style="3" customWidth="1"/>
    <col min="29" max="29" width="19.28125" style="3" bestFit="1" customWidth="1"/>
    <col min="30" max="30" width="21.57421875" style="3" bestFit="1" customWidth="1"/>
    <col min="31" max="33" width="9.140625" style="4" customWidth="1"/>
    <col min="34" max="34" width="14.57421875" style="4" customWidth="1"/>
    <col min="35" max="16384" width="9.140625" style="4" customWidth="1"/>
  </cols>
  <sheetData>
    <row r="1" ht="15">
      <c r="B1" s="2" t="s">
        <v>0</v>
      </c>
    </row>
    <row r="2" spans="2:30" ht="15.75">
      <c r="B2" s="2" t="s">
        <v>1</v>
      </c>
      <c r="E2" s="5"/>
      <c r="F2" s="6"/>
      <c r="G2" s="7" t="s">
        <v>2</v>
      </c>
      <c r="H2" s="5"/>
      <c r="AD2" s="5"/>
    </row>
    <row r="3" spans="2:22" ht="18.75">
      <c r="B3" s="2" t="s">
        <v>3</v>
      </c>
      <c r="D3" s="5" t="s">
        <v>4</v>
      </c>
      <c r="E3" s="5"/>
      <c r="H3" s="5"/>
      <c r="K3" s="123" t="s">
        <v>5</v>
      </c>
      <c r="L3" s="123"/>
      <c r="M3" s="123"/>
      <c r="N3" s="123"/>
      <c r="O3" s="123"/>
      <c r="P3" s="123"/>
      <c r="Q3" s="123"/>
      <c r="R3" s="123"/>
      <c r="S3" s="123"/>
      <c r="T3" s="123"/>
      <c r="U3" s="8"/>
      <c r="V3" s="8"/>
    </row>
    <row r="4" spans="1:22" ht="18.75">
      <c r="A4" s="2"/>
      <c r="B4" s="9" t="s">
        <v>6</v>
      </c>
      <c r="D4" s="5" t="s">
        <v>7</v>
      </c>
      <c r="E4" s="5"/>
      <c r="G4" s="5" t="s">
        <v>8</v>
      </c>
      <c r="H4" s="5"/>
      <c r="K4" s="124" t="s">
        <v>9</v>
      </c>
      <c r="L4" s="124"/>
      <c r="M4" s="124"/>
      <c r="N4" s="124"/>
      <c r="O4" s="124"/>
      <c r="P4" s="125" t="s">
        <v>10</v>
      </c>
      <c r="Q4" s="124"/>
      <c r="R4" s="124"/>
      <c r="S4" s="124"/>
      <c r="T4" s="124"/>
      <c r="U4" s="8"/>
      <c r="V4" s="8"/>
    </row>
    <row r="5" spans="1:22" ht="15">
      <c r="A5" s="2"/>
      <c r="D5" s="10" t="s">
        <v>11</v>
      </c>
      <c r="E5" s="5"/>
      <c r="F5" s="5" t="s">
        <v>12</v>
      </c>
      <c r="G5" s="5" t="s">
        <v>13</v>
      </c>
      <c r="H5" s="5"/>
      <c r="K5" s="126" t="s">
        <v>14</v>
      </c>
      <c r="L5" s="126"/>
      <c r="M5" s="126"/>
      <c r="N5" s="126"/>
      <c r="O5" s="127"/>
      <c r="P5" s="128" t="s">
        <v>15</v>
      </c>
      <c r="Q5" s="126"/>
      <c r="R5" s="126"/>
      <c r="S5" s="126"/>
      <c r="T5" s="126"/>
      <c r="U5" s="8"/>
      <c r="V5" s="8"/>
    </row>
    <row r="6" spans="1:29" s="11" customFormat="1" ht="30.75" customHeight="1" thickBot="1">
      <c r="A6" s="2" t="s">
        <v>2</v>
      </c>
      <c r="C6" s="12" t="s">
        <v>16</v>
      </c>
      <c r="D6" s="13" t="s">
        <v>17</v>
      </c>
      <c r="E6" s="13"/>
      <c r="F6" s="13" t="s">
        <v>17</v>
      </c>
      <c r="G6" s="13" t="s">
        <v>17</v>
      </c>
      <c r="H6" s="13"/>
      <c r="I6" s="13" t="s">
        <v>18</v>
      </c>
      <c r="J6" s="13"/>
      <c r="K6" s="14" t="s">
        <v>19</v>
      </c>
      <c r="L6" s="15" t="s">
        <v>20</v>
      </c>
      <c r="M6" s="14" t="s">
        <v>21</v>
      </c>
      <c r="N6" s="16" t="s">
        <v>22</v>
      </c>
      <c r="O6" s="16" t="s">
        <v>23</v>
      </c>
      <c r="P6" s="17"/>
      <c r="Q6" s="15" t="s">
        <v>20</v>
      </c>
      <c r="R6" s="14" t="s">
        <v>21</v>
      </c>
      <c r="S6" s="16" t="s">
        <v>22</v>
      </c>
      <c r="T6" s="16" t="s">
        <v>23</v>
      </c>
      <c r="U6" s="8"/>
      <c r="V6" s="8"/>
      <c r="W6" s="3"/>
      <c r="X6" s="3"/>
      <c r="Y6" s="3"/>
      <c r="Z6" s="3"/>
      <c r="AA6" s="3"/>
      <c r="AB6" s="3"/>
      <c r="AC6" s="3"/>
    </row>
    <row r="7" spans="2:22" ht="15">
      <c r="B7" s="9"/>
      <c r="C7" s="11"/>
      <c r="D7" s="18" t="s">
        <v>24</v>
      </c>
      <c r="I7" s="19">
        <v>-0.13202703510000002</v>
      </c>
      <c r="K7" s="8" t="s">
        <v>25</v>
      </c>
      <c r="L7" s="8"/>
      <c r="M7" s="8"/>
      <c r="N7" s="8"/>
      <c r="O7" s="8"/>
      <c r="P7" s="20" t="s">
        <v>25</v>
      </c>
      <c r="R7" s="8"/>
      <c r="S7" s="8"/>
      <c r="U7" s="8"/>
      <c r="V7" s="8"/>
    </row>
    <row r="8" spans="2:30" ht="15">
      <c r="B8" s="21" t="s">
        <v>26</v>
      </c>
      <c r="C8" s="11"/>
      <c r="I8" s="3" t="s">
        <v>2</v>
      </c>
      <c r="O8" s="8"/>
      <c r="P8" s="22"/>
      <c r="U8" s="8"/>
      <c r="V8" s="8"/>
      <c r="AD8" s="23" t="s">
        <v>2</v>
      </c>
    </row>
    <row r="9" spans="2:36" ht="15">
      <c r="B9" s="4" t="s">
        <v>27</v>
      </c>
      <c r="D9" s="3">
        <v>-111174560</v>
      </c>
      <c r="E9" s="24" t="s">
        <v>2</v>
      </c>
      <c r="F9" s="24">
        <f>-4000000-1000000</f>
        <v>-5000000</v>
      </c>
      <c r="G9" s="24">
        <f>F9+D9</f>
        <v>-116174560</v>
      </c>
      <c r="H9" s="24"/>
      <c r="I9" s="24">
        <f>I$7*-G9</f>
        <v>-15338182.71084706</v>
      </c>
      <c r="J9" s="25"/>
      <c r="K9" s="24">
        <f>+I9/5</f>
        <v>-3067636.5421694117</v>
      </c>
      <c r="M9" s="24"/>
      <c r="N9" s="24"/>
      <c r="O9" s="3">
        <f>K9</f>
        <v>-3067636.5421694117</v>
      </c>
      <c r="P9" s="26"/>
      <c r="Q9" s="24"/>
      <c r="R9" s="24"/>
      <c r="S9" s="24"/>
      <c r="U9" s="8"/>
      <c r="V9" s="8"/>
      <c r="AE9" s="3"/>
      <c r="AF9" s="3"/>
      <c r="AG9" s="3"/>
      <c r="AH9" s="3"/>
      <c r="AI9" s="3"/>
      <c r="AJ9" s="3"/>
    </row>
    <row r="10" spans="2:22" ht="15">
      <c r="B10" s="4" t="s">
        <v>28</v>
      </c>
      <c r="G10" s="24"/>
      <c r="H10" s="24"/>
      <c r="I10" s="24">
        <f aca="true" t="shared" si="0" ref="I10:I15">I$7*-G10</f>
        <v>0</v>
      </c>
      <c r="J10" s="24"/>
      <c r="K10" s="24"/>
      <c r="M10" s="24"/>
      <c r="N10" s="24"/>
      <c r="O10" s="27"/>
      <c r="P10" s="26"/>
      <c r="Q10" s="24"/>
      <c r="R10" s="24"/>
      <c r="S10" s="24"/>
      <c r="V10" s="24"/>
    </row>
    <row r="11" spans="2:28" ht="15">
      <c r="B11" s="4" t="s">
        <v>29</v>
      </c>
      <c r="D11" s="3">
        <v>-42140440</v>
      </c>
      <c r="G11" s="24">
        <f aca="true" t="shared" si="1" ref="G11:G19">F11+D11</f>
        <v>-42140440</v>
      </c>
      <c r="H11" s="24"/>
      <c r="I11" s="24">
        <f t="shared" si="0"/>
        <v>-5563677.351009445</v>
      </c>
      <c r="J11" s="24"/>
      <c r="K11" s="24">
        <f>+I11/5</f>
        <v>-1112735.470201889</v>
      </c>
      <c r="L11" s="3">
        <f>+K11-M11</f>
        <v>-1091682.5151056694</v>
      </c>
      <c r="M11" s="24">
        <f>+K11*0.01892</f>
        <v>-21052.95509621974</v>
      </c>
      <c r="N11" s="24"/>
      <c r="O11" s="27"/>
      <c r="P11" s="26"/>
      <c r="Q11" s="24"/>
      <c r="R11" s="24"/>
      <c r="S11" s="24"/>
      <c r="V11" s="24"/>
      <c r="W11" s="24"/>
      <c r="X11" s="24"/>
      <c r="AB11" s="28"/>
    </row>
    <row r="12" spans="2:28" ht="15">
      <c r="B12" s="4" t="s">
        <v>30</v>
      </c>
      <c r="D12" s="3">
        <v>-36664505</v>
      </c>
      <c r="G12" s="24">
        <f t="shared" si="1"/>
        <v>-36664505</v>
      </c>
      <c r="H12" s="24"/>
      <c r="I12" s="24">
        <f t="shared" si="0"/>
        <v>-4840705.888559126</v>
      </c>
      <c r="J12" s="24"/>
      <c r="K12" s="24">
        <f>+I12/5</f>
        <v>-968141.1777118252</v>
      </c>
      <c r="L12" s="3">
        <f>+K12</f>
        <v>-968141.1777118252</v>
      </c>
      <c r="M12" s="24"/>
      <c r="N12" s="24"/>
      <c r="O12" s="27"/>
      <c r="P12" s="26"/>
      <c r="Q12" s="24"/>
      <c r="R12" s="24"/>
      <c r="S12" s="24"/>
      <c r="V12" s="24"/>
      <c r="W12" s="24"/>
      <c r="X12" s="24"/>
      <c r="AB12" s="28"/>
    </row>
    <row r="13" spans="2:28" ht="15">
      <c r="B13" s="4" t="s">
        <v>31</v>
      </c>
      <c r="D13" s="3">
        <v>-7102849</v>
      </c>
      <c r="G13" s="24">
        <f t="shared" si="1"/>
        <v>-7102849</v>
      </c>
      <c r="H13" s="24"/>
      <c r="I13" s="24">
        <f t="shared" si="0"/>
        <v>-937768.0942330001</v>
      </c>
      <c r="J13" s="24"/>
      <c r="K13" s="24">
        <f>+I13/5</f>
        <v>-187553.6188466</v>
      </c>
      <c r="L13" s="3">
        <f>K13</f>
        <v>-187553.6188466</v>
      </c>
      <c r="M13" s="24"/>
      <c r="N13" s="24"/>
      <c r="O13" s="27"/>
      <c r="P13" s="26"/>
      <c r="Q13" s="24"/>
      <c r="R13" s="24"/>
      <c r="S13" s="24"/>
      <c r="V13" s="24"/>
      <c r="W13" s="24"/>
      <c r="X13" s="24"/>
      <c r="AA13" s="28"/>
      <c r="AB13" s="28"/>
    </row>
    <row r="14" spans="1:36" s="3" customFormat="1" ht="15">
      <c r="A14" s="1"/>
      <c r="B14" s="4" t="s">
        <v>32</v>
      </c>
      <c r="C14" s="1"/>
      <c r="D14" s="3">
        <f>3784338-16936896+5726962+17090343</f>
        <v>9664747</v>
      </c>
      <c r="F14" s="3">
        <f>-1892168-82136</f>
        <v>-1974304</v>
      </c>
      <c r="G14" s="24">
        <f t="shared" si="1"/>
        <v>7690443</v>
      </c>
      <c r="H14" s="24"/>
      <c r="I14" s="24">
        <f t="shared" si="0"/>
        <v>1015346.3878955495</v>
      </c>
      <c r="J14" s="24"/>
      <c r="K14" s="24">
        <f>+I14/5</f>
        <v>203069.2775791099</v>
      </c>
      <c r="M14" s="24"/>
      <c r="N14" s="24"/>
      <c r="O14" s="3">
        <f>+K14</f>
        <v>203069.2775791099</v>
      </c>
      <c r="P14" s="26"/>
      <c r="Q14" s="24"/>
      <c r="R14" s="24"/>
      <c r="S14" s="24"/>
      <c r="V14" s="24"/>
      <c r="W14" s="24"/>
      <c r="X14" s="24"/>
      <c r="AA14" s="28"/>
      <c r="AB14" s="28"/>
      <c r="AE14" s="4"/>
      <c r="AF14" s="4"/>
      <c r="AG14" s="4"/>
      <c r="AH14" s="4"/>
      <c r="AI14" s="4"/>
      <c r="AJ14" s="4"/>
    </row>
    <row r="15" spans="1:36" s="3" customFormat="1" ht="15">
      <c r="A15" s="1"/>
      <c r="B15" s="4" t="s">
        <v>33</v>
      </c>
      <c r="C15" s="1"/>
      <c r="D15" s="3">
        <f>-74058625+76243047</f>
        <v>2184422</v>
      </c>
      <c r="F15" s="3">
        <f>-1967775+1974304</f>
        <v>6529</v>
      </c>
      <c r="G15" s="24">
        <f t="shared" si="1"/>
        <v>2190951</v>
      </c>
      <c r="H15" s="24"/>
      <c r="I15" s="24">
        <f t="shared" si="0"/>
        <v>289264.76457938016</v>
      </c>
      <c r="J15" s="24"/>
      <c r="K15" s="24">
        <f>+I15/5</f>
        <v>57852.952915876034</v>
      </c>
      <c r="M15" s="24"/>
      <c r="N15" s="24"/>
      <c r="O15" s="29">
        <f>+K15</f>
        <v>57852.952915876034</v>
      </c>
      <c r="P15" s="26"/>
      <c r="Q15" s="24"/>
      <c r="R15" s="24"/>
      <c r="S15" s="24"/>
      <c r="V15" s="24"/>
      <c r="W15" s="24"/>
      <c r="X15" s="24"/>
      <c r="AA15" s="28"/>
      <c r="AB15" s="28"/>
      <c r="AE15" s="4"/>
      <c r="AF15" s="4"/>
      <c r="AG15" s="4"/>
      <c r="AH15" s="4"/>
      <c r="AI15" s="4"/>
      <c r="AJ15" s="4"/>
    </row>
    <row r="16" spans="1:36" s="3" customFormat="1" ht="15">
      <c r="A16" s="1"/>
      <c r="B16" s="4"/>
      <c r="C16" s="1"/>
      <c r="D16" s="30">
        <f>SUM(D11:D15)</f>
        <v>-74058625</v>
      </c>
      <c r="F16" s="30">
        <f>SUM(F11:F15)</f>
        <v>-1967775</v>
      </c>
      <c r="G16" s="30">
        <f>SUM(G11:G15)</f>
        <v>-76026400</v>
      </c>
      <c r="H16" s="31"/>
      <c r="I16" s="30">
        <f>SUM(I11:I15)</f>
        <v>-10037540.181326644</v>
      </c>
      <c r="J16" s="24"/>
      <c r="K16" s="24"/>
      <c r="O16" s="8"/>
      <c r="P16" s="26"/>
      <c r="Q16" s="24"/>
      <c r="R16" s="24"/>
      <c r="S16" s="24"/>
      <c r="V16" s="24"/>
      <c r="W16" s="24"/>
      <c r="X16" s="24"/>
      <c r="AA16" s="28"/>
      <c r="AB16" s="28"/>
      <c r="AE16" s="4"/>
      <c r="AF16" s="4"/>
      <c r="AG16" s="4"/>
      <c r="AH16" s="4"/>
      <c r="AI16" s="4"/>
      <c r="AJ16" s="4"/>
    </row>
    <row r="17" spans="1:36" s="3" customFormat="1" ht="15">
      <c r="A17" s="1"/>
      <c r="B17" s="4" t="s">
        <v>34</v>
      </c>
      <c r="C17" s="1"/>
      <c r="D17" s="3">
        <v>-10173408</v>
      </c>
      <c r="G17" s="24">
        <f t="shared" si="1"/>
        <v>-10173408</v>
      </c>
      <c r="H17" s="24"/>
      <c r="I17" s="24">
        <f>-G17*D$21</f>
        <v>-1343164.895102621</v>
      </c>
      <c r="J17" s="24"/>
      <c r="K17" s="24">
        <f>+I17/5</f>
        <v>-268632.9790205242</v>
      </c>
      <c r="M17" s="24"/>
      <c r="N17" s="3">
        <f>+K17</f>
        <v>-268632.9790205242</v>
      </c>
      <c r="O17" s="27"/>
      <c r="P17" s="26"/>
      <c r="Q17" s="24"/>
      <c r="R17" s="24"/>
      <c r="S17" s="24"/>
      <c r="V17" s="24"/>
      <c r="W17" s="24"/>
      <c r="X17" s="24"/>
      <c r="AA17" s="28"/>
      <c r="AB17" s="28"/>
      <c r="AE17" s="4"/>
      <c r="AF17" s="4"/>
      <c r="AG17" s="4"/>
      <c r="AH17" s="4"/>
      <c r="AI17" s="4"/>
      <c r="AJ17" s="4"/>
    </row>
    <row r="18" spans="1:36" s="3" customFormat="1" ht="15">
      <c r="A18" s="1"/>
      <c r="B18" s="4" t="s">
        <v>35</v>
      </c>
      <c r="C18" s="1"/>
      <c r="D18" s="3">
        <v>-83119670</v>
      </c>
      <c r="E18" s="32" t="s">
        <v>2</v>
      </c>
      <c r="F18" s="24"/>
      <c r="G18" s="24">
        <f t="shared" si="1"/>
        <v>-83119670</v>
      </c>
      <c r="H18" s="24"/>
      <c r="I18" s="24">
        <f>-G18*D$21</f>
        <v>-10974043.588590419</v>
      </c>
      <c r="J18" s="24"/>
      <c r="K18" s="24">
        <f>+I18/5</f>
        <v>-2194808.717718084</v>
      </c>
      <c r="L18" s="24">
        <f>+K18</f>
        <v>-2194808.717718084</v>
      </c>
      <c r="M18" s="24"/>
      <c r="O18" s="27"/>
      <c r="P18" s="26"/>
      <c r="Q18" s="24"/>
      <c r="R18" s="24"/>
      <c r="S18" s="24"/>
      <c r="V18" s="24"/>
      <c r="W18" s="24"/>
      <c r="X18" s="24"/>
      <c r="AA18" s="28"/>
      <c r="AB18" s="28" t="s">
        <v>2</v>
      </c>
      <c r="AE18" s="4"/>
      <c r="AF18" s="4"/>
      <c r="AG18" s="4"/>
      <c r="AH18" s="4"/>
      <c r="AI18" s="4"/>
      <c r="AJ18" s="4"/>
    </row>
    <row r="19" spans="1:36" s="3" customFormat="1" ht="15">
      <c r="A19" s="1"/>
      <c r="B19" s="33" t="s">
        <v>36</v>
      </c>
      <c r="C19" s="1"/>
      <c r="D19" s="34">
        <v>1987470</v>
      </c>
      <c r="E19" s="35"/>
      <c r="F19" s="34"/>
      <c r="G19" s="36">
        <f t="shared" si="1"/>
        <v>1987470</v>
      </c>
      <c r="H19" s="37"/>
      <c r="I19" s="37">
        <f>-G19*D$21</f>
        <v>262399.77145019703</v>
      </c>
      <c r="J19" s="37"/>
      <c r="K19" s="24">
        <f>+I19/5</f>
        <v>52479.95429003941</v>
      </c>
      <c r="L19" s="3">
        <f>+K19</f>
        <v>52479.95429003941</v>
      </c>
      <c r="M19" s="24"/>
      <c r="N19" s="24"/>
      <c r="O19" s="27"/>
      <c r="P19" s="26"/>
      <c r="Q19" s="24"/>
      <c r="R19" s="24"/>
      <c r="S19" s="24"/>
      <c r="V19" s="24"/>
      <c r="W19" s="24"/>
      <c r="X19" s="24"/>
      <c r="Z19" s="28" t="s">
        <v>2</v>
      </c>
      <c r="AA19" s="28"/>
      <c r="AB19" s="28"/>
      <c r="AE19" s="4"/>
      <c r="AF19" s="4"/>
      <c r="AG19" s="4"/>
      <c r="AH19" s="4"/>
      <c r="AI19" s="4"/>
      <c r="AJ19" s="4"/>
    </row>
    <row r="20" spans="1:36" s="3" customFormat="1" ht="15">
      <c r="A20" s="1"/>
      <c r="B20" s="33" t="s">
        <v>37</v>
      </c>
      <c r="C20" s="1"/>
      <c r="D20" s="35">
        <f>SUM(D17:D19)+D16+D9</f>
        <v>-276538793</v>
      </c>
      <c r="E20" s="35"/>
      <c r="F20" s="35">
        <f>SUM(F17:F19)+F16+F9</f>
        <v>-6967775</v>
      </c>
      <c r="G20" s="35">
        <f>SUM(G17:G19)+G16+G9</f>
        <v>-283506568</v>
      </c>
      <c r="H20" s="35">
        <f>SUM(H17:H19)+H16+H9</f>
        <v>0</v>
      </c>
      <c r="I20" s="35"/>
      <c r="J20" s="35"/>
      <c r="K20" s="24"/>
      <c r="M20" s="24"/>
      <c r="N20" s="24"/>
      <c r="O20" s="38"/>
      <c r="P20" s="26"/>
      <c r="Q20" s="24"/>
      <c r="R20" s="24"/>
      <c r="S20" s="24"/>
      <c r="V20" s="24"/>
      <c r="W20" s="24"/>
      <c r="X20" s="24"/>
      <c r="Z20" s="24"/>
      <c r="AA20" s="28"/>
      <c r="AB20" s="28"/>
      <c r="AE20" s="4"/>
      <c r="AF20" s="4"/>
      <c r="AG20" s="4"/>
      <c r="AH20" s="4"/>
      <c r="AI20" s="4"/>
      <c r="AJ20" s="4"/>
    </row>
    <row r="21" spans="1:36" s="3" customFormat="1" ht="15">
      <c r="A21" s="1"/>
      <c r="B21" s="33" t="s">
        <v>38</v>
      </c>
      <c r="C21" s="1"/>
      <c r="D21" s="39">
        <f>-(0.38759091-0.2555638749)</f>
        <v>-0.13202703510000002</v>
      </c>
      <c r="E21" s="35"/>
      <c r="F21" s="39">
        <f>-(0.38759091-0.2555638749)</f>
        <v>-0.13202703510000002</v>
      </c>
      <c r="G21" s="39">
        <f>-(0.38759091-0.2555638749)</f>
        <v>-0.13202703510000002</v>
      </c>
      <c r="H21" s="39"/>
      <c r="I21" s="35"/>
      <c r="J21" s="35"/>
      <c r="K21" s="35"/>
      <c r="M21" s="35"/>
      <c r="N21" s="35"/>
      <c r="O21" s="10"/>
      <c r="P21" s="40"/>
      <c r="Q21" s="24"/>
      <c r="R21" s="24"/>
      <c r="S21" s="38"/>
      <c r="V21" s="35"/>
      <c r="W21" s="35"/>
      <c r="X21" s="35"/>
      <c r="Z21" s="35"/>
      <c r="AA21" s="28"/>
      <c r="AB21" s="28"/>
      <c r="AE21" s="4"/>
      <c r="AF21" s="4"/>
      <c r="AG21" s="4"/>
      <c r="AH21" s="4"/>
      <c r="AI21" s="4"/>
      <c r="AJ21" s="4"/>
    </row>
    <row r="22" spans="1:36" s="3" customFormat="1" ht="15.75" thickBot="1">
      <c r="A22" s="1"/>
      <c r="B22" s="41" t="s">
        <v>39</v>
      </c>
      <c r="C22" s="1"/>
      <c r="D22" s="42">
        <f>D20*D21</f>
        <v>36510596.92992264</v>
      </c>
      <c r="E22" s="43" t="s">
        <v>40</v>
      </c>
      <c r="F22" s="42">
        <f>F20*F21</f>
        <v>919934.6744939027</v>
      </c>
      <c r="G22" s="42">
        <f>G20*G21</f>
        <v>37430531.60441654</v>
      </c>
      <c r="H22" s="35"/>
      <c r="I22" s="44">
        <f>SUM(I17:I19)+I16+I9</f>
        <v>-37430531.60441655</v>
      </c>
      <c r="J22" s="35"/>
      <c r="K22" s="35"/>
      <c r="M22" s="35"/>
      <c r="N22" s="35"/>
      <c r="O22" s="10"/>
      <c r="P22" s="40"/>
      <c r="Q22" s="24"/>
      <c r="R22" s="24"/>
      <c r="S22" s="38"/>
      <c r="V22" s="35"/>
      <c r="W22" s="35"/>
      <c r="X22" s="35"/>
      <c r="Z22" s="35"/>
      <c r="AA22" s="28"/>
      <c r="AE22" s="4"/>
      <c r="AF22" s="4"/>
      <c r="AG22" s="4"/>
      <c r="AH22" s="4"/>
      <c r="AI22" s="4"/>
      <c r="AJ22" s="4"/>
    </row>
    <row r="23" spans="1:36" s="3" customFormat="1" ht="15.75" thickTop="1">
      <c r="A23" s="1"/>
      <c r="B23" s="33"/>
      <c r="C23" s="1"/>
      <c r="D23" s="10" t="str">
        <f>IF(D22&gt;0,"ADIT Benefit","ADIT Incr")</f>
        <v>ADIT Benefit</v>
      </c>
      <c r="E23" s="35"/>
      <c r="F23" s="35"/>
      <c r="G23" s="35"/>
      <c r="H23" s="35"/>
      <c r="I23" s="45" t="s">
        <v>41</v>
      </c>
      <c r="J23" s="45"/>
      <c r="K23" s="35"/>
      <c r="M23" s="35"/>
      <c r="N23" s="35"/>
      <c r="O23" s="10"/>
      <c r="P23" s="46"/>
      <c r="Q23" s="24"/>
      <c r="R23" s="24"/>
      <c r="S23" s="38"/>
      <c r="V23" s="45"/>
      <c r="W23" s="45"/>
      <c r="X23" s="45"/>
      <c r="Z23" s="45"/>
      <c r="AA23" s="28"/>
      <c r="AE23" s="4"/>
      <c r="AF23" s="4"/>
      <c r="AG23" s="4"/>
      <c r="AH23" s="4"/>
      <c r="AI23" s="4"/>
      <c r="AJ23" s="4"/>
    </row>
    <row r="24" spans="1:36" s="3" customFormat="1" ht="15">
      <c r="A24" s="1"/>
      <c r="B24" s="33"/>
      <c r="C24" s="1"/>
      <c r="D24" s="45"/>
      <c r="E24" s="35"/>
      <c r="F24" s="35"/>
      <c r="G24" s="35"/>
      <c r="H24" s="35"/>
      <c r="I24" s="35"/>
      <c r="J24" s="35"/>
      <c r="K24" s="35"/>
      <c r="M24" s="35"/>
      <c r="N24" s="35"/>
      <c r="O24" s="10"/>
      <c r="P24" s="40"/>
      <c r="Q24" s="24"/>
      <c r="R24" s="24"/>
      <c r="S24" s="38"/>
      <c r="V24" s="35"/>
      <c r="W24" s="35"/>
      <c r="X24" s="35"/>
      <c r="Z24" s="35"/>
      <c r="AA24" s="28"/>
      <c r="AE24" s="4"/>
      <c r="AF24" s="4"/>
      <c r="AG24" s="4"/>
      <c r="AH24" s="4"/>
      <c r="AI24" s="4"/>
      <c r="AJ24" s="4"/>
    </row>
    <row r="25" spans="1:36" s="3" customFormat="1" ht="15">
      <c r="A25" s="1"/>
      <c r="B25" s="47" t="s">
        <v>42</v>
      </c>
      <c r="C25" s="1"/>
      <c r="D25" s="35"/>
      <c r="E25" s="35"/>
      <c r="F25" s="35"/>
      <c r="G25" s="35"/>
      <c r="H25" s="35"/>
      <c r="I25" s="35"/>
      <c r="J25" s="35"/>
      <c r="K25" s="35"/>
      <c r="M25" s="35"/>
      <c r="N25" s="35"/>
      <c r="O25" s="10"/>
      <c r="P25" s="40"/>
      <c r="Q25" s="24"/>
      <c r="R25" s="24"/>
      <c r="S25" s="38"/>
      <c r="V25" s="35"/>
      <c r="W25" s="35"/>
      <c r="X25" s="35"/>
      <c r="Z25" s="35"/>
      <c r="AA25" s="28"/>
      <c r="AE25" s="4"/>
      <c r="AF25" s="4"/>
      <c r="AG25" s="4"/>
      <c r="AH25" s="4"/>
      <c r="AI25" s="4"/>
      <c r="AJ25" s="4"/>
    </row>
    <row r="26" spans="1:36" s="3" customFormat="1" ht="15">
      <c r="A26" s="1"/>
      <c r="B26" s="33" t="s">
        <v>43</v>
      </c>
      <c r="C26" s="1"/>
      <c r="D26" s="35">
        <v>75107794</v>
      </c>
      <c r="E26" s="35" t="s">
        <v>2</v>
      </c>
      <c r="F26" s="35">
        <v>-1949</v>
      </c>
      <c r="G26" s="37">
        <f aca="true" t="shared" si="2" ref="G26:G33">F26+D26</f>
        <v>75105845</v>
      </c>
      <c r="H26" s="35"/>
      <c r="I26" s="37">
        <f aca="true" t="shared" si="3" ref="I26:I33">-G26*D$21</f>
        <v>9916002.034030162</v>
      </c>
      <c r="J26" s="48"/>
      <c r="K26" s="37"/>
      <c r="M26" s="37"/>
      <c r="N26" s="37"/>
      <c r="O26" s="49"/>
      <c r="P26" s="50">
        <f aca="true" t="shared" si="4" ref="P26:P33">+I26/5</f>
        <v>1983200.4068060324</v>
      </c>
      <c r="Q26" s="8">
        <f>+P26</f>
        <v>1983200.4068060324</v>
      </c>
      <c r="R26" s="37"/>
      <c r="T26" s="28"/>
      <c r="AA26" s="28"/>
      <c r="AE26" s="4"/>
      <c r="AF26" s="4"/>
      <c r="AG26" s="4"/>
      <c r="AH26" s="4"/>
      <c r="AI26" s="4"/>
      <c r="AJ26" s="4"/>
    </row>
    <row r="27" spans="1:36" s="3" customFormat="1" ht="15">
      <c r="A27" s="1"/>
      <c r="B27" s="33" t="s">
        <v>44</v>
      </c>
      <c r="C27" s="1"/>
      <c r="D27" s="35">
        <v>68251485</v>
      </c>
      <c r="E27" s="37" t="s">
        <v>2</v>
      </c>
      <c r="F27" s="37">
        <f>724817-599784</f>
        <v>125033</v>
      </c>
      <c r="G27" s="37">
        <f t="shared" si="2"/>
        <v>68376518</v>
      </c>
      <c r="H27" s="37"/>
      <c r="I27" s="37">
        <f>-G27*D$21</f>
        <v>9027548.942001784</v>
      </c>
      <c r="J27" s="48"/>
      <c r="K27" s="37"/>
      <c r="M27" s="37"/>
      <c r="N27" s="37"/>
      <c r="O27" s="49"/>
      <c r="P27" s="50">
        <f t="shared" si="4"/>
        <v>1805509.788400357</v>
      </c>
      <c r="Q27" s="24"/>
      <c r="R27" s="24"/>
      <c r="S27" s="49"/>
      <c r="T27" s="37">
        <f>+P27</f>
        <v>1805509.788400357</v>
      </c>
      <c r="U27" s="37"/>
      <c r="X27" s="37"/>
      <c r="Z27" s="37"/>
      <c r="AA27" s="28"/>
      <c r="AE27" s="4"/>
      <c r="AF27" s="4"/>
      <c r="AG27" s="4"/>
      <c r="AH27" s="4"/>
      <c r="AI27" s="4"/>
      <c r="AJ27" s="4"/>
    </row>
    <row r="28" spans="1:36" s="3" customFormat="1" ht="15">
      <c r="A28" s="1"/>
      <c r="B28" s="33" t="s">
        <v>45</v>
      </c>
      <c r="C28" s="1"/>
      <c r="D28" s="35">
        <v>5628709</v>
      </c>
      <c r="E28" s="35"/>
      <c r="F28" s="35"/>
      <c r="G28" s="37">
        <f t="shared" si="2"/>
        <v>5628709</v>
      </c>
      <c r="H28" s="35"/>
      <c r="I28" s="37">
        <f t="shared" si="3"/>
        <v>743141.760710686</v>
      </c>
      <c r="J28" s="48"/>
      <c r="K28" s="37"/>
      <c r="M28" s="37"/>
      <c r="N28" s="37"/>
      <c r="O28" s="49"/>
      <c r="P28" s="50">
        <f t="shared" si="4"/>
        <v>148628.35214213718</v>
      </c>
      <c r="Q28" s="24"/>
      <c r="R28" s="24"/>
      <c r="S28" s="49"/>
      <c r="T28" s="37">
        <f>+P28</f>
        <v>148628.35214213718</v>
      </c>
      <c r="U28" s="37"/>
      <c r="X28" s="37"/>
      <c r="Z28" s="37"/>
      <c r="AA28" s="28"/>
      <c r="AE28" s="4"/>
      <c r="AF28" s="4"/>
      <c r="AG28" s="4"/>
      <c r="AH28" s="4"/>
      <c r="AI28" s="4"/>
      <c r="AJ28" s="4"/>
    </row>
    <row r="29" spans="1:36" s="3" customFormat="1" ht="15">
      <c r="A29" s="1"/>
      <c r="B29" s="33" t="s">
        <v>46</v>
      </c>
      <c r="C29" s="1"/>
      <c r="D29" s="35">
        <v>2464335</v>
      </c>
      <c r="E29" s="35"/>
      <c r="F29" s="35"/>
      <c r="G29" s="37">
        <f t="shared" si="2"/>
        <v>2464335</v>
      </c>
      <c r="H29" s="35"/>
      <c r="I29" s="37">
        <f t="shared" si="3"/>
        <v>325358.84354315855</v>
      </c>
      <c r="J29" s="48"/>
      <c r="K29" s="37"/>
      <c r="M29" s="37"/>
      <c r="N29" s="37"/>
      <c r="O29" s="49"/>
      <c r="P29" s="50">
        <f t="shared" si="4"/>
        <v>65071.76870863171</v>
      </c>
      <c r="Q29" s="24"/>
      <c r="R29" s="24"/>
      <c r="S29" s="49"/>
      <c r="T29" s="37">
        <f>+P29</f>
        <v>65071.76870863171</v>
      </c>
      <c r="U29" s="37"/>
      <c r="X29" s="37"/>
      <c r="Z29" s="37"/>
      <c r="AA29" s="28"/>
      <c r="AE29" s="4"/>
      <c r="AF29" s="4"/>
      <c r="AG29" s="4"/>
      <c r="AH29" s="4"/>
      <c r="AI29" s="4"/>
      <c r="AJ29" s="4"/>
    </row>
    <row r="30" spans="1:36" s="3" customFormat="1" ht="15">
      <c r="A30" s="1"/>
      <c r="B30" s="33" t="s">
        <v>47</v>
      </c>
      <c r="C30" s="1"/>
      <c r="D30" s="35">
        <v>12325387</v>
      </c>
      <c r="E30" s="35" t="s">
        <v>48</v>
      </c>
      <c r="F30" s="35">
        <f>-21410+85000-1591</f>
        <v>61999</v>
      </c>
      <c r="G30" s="37">
        <f t="shared" si="2"/>
        <v>12387386</v>
      </c>
      <c r="H30" s="35"/>
      <c r="I30" s="37">
        <f t="shared" si="3"/>
        <v>1635469.8462192488</v>
      </c>
      <c r="J30" s="37"/>
      <c r="K30" s="37"/>
      <c r="M30" s="37"/>
      <c r="N30" s="37"/>
      <c r="O30" s="49"/>
      <c r="P30" s="50">
        <f t="shared" si="4"/>
        <v>327093.96924384974</v>
      </c>
      <c r="Q30" s="24">
        <f>+P30</f>
        <v>327093.96924384974</v>
      </c>
      <c r="R30" s="37"/>
      <c r="S30" s="37"/>
      <c r="T30" s="37"/>
      <c r="X30" s="37"/>
      <c r="Z30" s="37"/>
      <c r="AA30" s="28"/>
      <c r="AE30" s="4"/>
      <c r="AF30" s="4"/>
      <c r="AG30" s="4"/>
      <c r="AH30" s="4"/>
      <c r="AI30" s="4"/>
      <c r="AJ30" s="4"/>
    </row>
    <row r="31" spans="2:27" ht="15">
      <c r="B31" s="33" t="s">
        <v>49</v>
      </c>
      <c r="D31" s="35">
        <v>10187398</v>
      </c>
      <c r="E31" s="35" t="s">
        <v>2</v>
      </c>
      <c r="F31" s="35">
        <v>1512491</v>
      </c>
      <c r="G31" s="37">
        <f t="shared" si="2"/>
        <v>11699889</v>
      </c>
      <c r="H31" s="35"/>
      <c r="I31" s="37">
        <f t="shared" si="3"/>
        <v>1544701.655669104</v>
      </c>
      <c r="J31" s="37"/>
      <c r="K31" s="37"/>
      <c r="M31" s="37"/>
      <c r="N31" s="37"/>
      <c r="O31" s="49"/>
      <c r="P31" s="50">
        <f t="shared" si="4"/>
        <v>308940.3311338208</v>
      </c>
      <c r="Q31" s="24">
        <f>+P31</f>
        <v>308940.3311338208</v>
      </c>
      <c r="R31" s="37"/>
      <c r="S31" s="37"/>
      <c r="T31" s="37"/>
      <c r="X31" s="37"/>
      <c r="Z31" s="37"/>
      <c r="AA31" s="28"/>
    </row>
    <row r="32" spans="2:27" ht="15">
      <c r="B32" s="33" t="s">
        <v>50</v>
      </c>
      <c r="D32" s="35">
        <v>8444922</v>
      </c>
      <c r="E32" s="35" t="s">
        <v>51</v>
      </c>
      <c r="F32" s="35"/>
      <c r="G32" s="37">
        <f t="shared" si="2"/>
        <v>8444922</v>
      </c>
      <c r="H32" s="35"/>
      <c r="I32" s="37">
        <f t="shared" si="3"/>
        <v>1114958.0133107624</v>
      </c>
      <c r="J32" s="37"/>
      <c r="K32" s="37"/>
      <c r="M32" s="37"/>
      <c r="N32" s="37"/>
      <c r="O32" s="49"/>
      <c r="P32" s="50">
        <f t="shared" si="4"/>
        <v>222991.60266215247</v>
      </c>
      <c r="Q32" s="24">
        <f>+P32</f>
        <v>222991.60266215247</v>
      </c>
      <c r="R32" s="37"/>
      <c r="X32" s="37"/>
      <c r="Z32" s="37"/>
      <c r="AA32" s="28"/>
    </row>
    <row r="33" spans="2:28" ht="15">
      <c r="B33" s="33" t="s">
        <v>52</v>
      </c>
      <c r="D33" s="35">
        <v>1511280</v>
      </c>
      <c r="E33" s="35"/>
      <c r="F33" s="35"/>
      <c r="G33" s="37">
        <f t="shared" si="2"/>
        <v>1511280</v>
      </c>
      <c r="H33" s="35"/>
      <c r="I33" s="37">
        <f t="shared" si="3"/>
        <v>199529.81760592802</v>
      </c>
      <c r="J33" s="37"/>
      <c r="K33" s="37"/>
      <c r="M33" s="37"/>
      <c r="N33" s="37"/>
      <c r="O33" s="49"/>
      <c r="P33" s="50">
        <f t="shared" si="4"/>
        <v>39905.96352118561</v>
      </c>
      <c r="Q33" s="24">
        <f>+P33</f>
        <v>39905.96352118561</v>
      </c>
      <c r="R33" s="37"/>
      <c r="S33" s="37"/>
      <c r="T33" s="37"/>
      <c r="W33" s="37"/>
      <c r="X33" s="37"/>
      <c r="Z33" s="37"/>
      <c r="AA33" s="28"/>
      <c r="AB33" s="28"/>
    </row>
    <row r="34" spans="2:28" ht="15">
      <c r="B34" s="33" t="s">
        <v>37</v>
      </c>
      <c r="C34" s="51"/>
      <c r="D34" s="52">
        <f>SUM(D26:D33)</f>
        <v>183921310</v>
      </c>
      <c r="E34" s="35"/>
      <c r="F34" s="52">
        <f>SUM(F26:F33)</f>
        <v>1697574</v>
      </c>
      <c r="G34" s="52">
        <f>SUM(G26:G33)</f>
        <v>185618884</v>
      </c>
      <c r="H34" s="35"/>
      <c r="I34" s="35"/>
      <c r="J34" s="35"/>
      <c r="K34" s="35"/>
      <c r="M34" s="35"/>
      <c r="N34" s="35"/>
      <c r="O34" s="10"/>
      <c r="P34" s="40"/>
      <c r="Q34" s="37"/>
      <c r="R34" s="37"/>
      <c r="S34" s="27"/>
      <c r="T34" s="53"/>
      <c r="V34" s="35"/>
      <c r="W34" s="35"/>
      <c r="X34" s="37"/>
      <c r="Z34" s="37"/>
      <c r="AA34" s="28"/>
      <c r="AB34" s="28"/>
    </row>
    <row r="35" spans="2:28" ht="15">
      <c r="B35" s="33" t="s">
        <v>38</v>
      </c>
      <c r="C35" s="51"/>
      <c r="D35" s="39">
        <f>-(0.38759091-0.2555638749)</f>
        <v>-0.13202703510000002</v>
      </c>
      <c r="E35" s="35"/>
      <c r="F35" s="39">
        <f>-(0.38759091-0.2555638749)</f>
        <v>-0.13202703510000002</v>
      </c>
      <c r="G35" s="39">
        <f>-(0.38759091-0.2555638749)</f>
        <v>-0.13202703510000002</v>
      </c>
      <c r="H35" s="35"/>
      <c r="I35" s="35"/>
      <c r="J35" s="35"/>
      <c r="K35" s="35"/>
      <c r="M35" s="35"/>
      <c r="N35" s="35"/>
      <c r="O35" s="10"/>
      <c r="P35" s="40"/>
      <c r="Q35" s="24"/>
      <c r="R35" s="24"/>
      <c r="S35" s="24"/>
      <c r="T35" s="35"/>
      <c r="V35" s="35"/>
      <c r="W35" s="35"/>
      <c r="X35" s="37"/>
      <c r="Z35" s="37"/>
      <c r="AA35" s="28"/>
      <c r="AB35" s="54"/>
    </row>
    <row r="36" spans="2:28" ht="15.75" thickBot="1">
      <c r="B36" s="41" t="s">
        <v>53</v>
      </c>
      <c r="C36" s="43" t="s">
        <v>54</v>
      </c>
      <c r="D36" s="42">
        <f>D34*D35</f>
        <v>-24282585.251007985</v>
      </c>
      <c r="E36" s="35"/>
      <c r="F36" s="42">
        <f>F34*F35</f>
        <v>-224125.66208284744</v>
      </c>
      <c r="G36" s="42">
        <f>G34*G35</f>
        <v>-24506710.913090833</v>
      </c>
      <c r="H36" s="35"/>
      <c r="I36" s="44">
        <f>SUM(I26:I33)</f>
        <v>24506710.913090833</v>
      </c>
      <c r="J36" s="35"/>
      <c r="K36" s="35"/>
      <c r="M36" s="35"/>
      <c r="N36" s="35"/>
      <c r="O36" s="10"/>
      <c r="P36" s="40"/>
      <c r="Q36" s="24"/>
      <c r="R36" s="24"/>
      <c r="S36" s="24"/>
      <c r="T36" s="35"/>
      <c r="V36" s="35"/>
      <c r="W36" s="35"/>
      <c r="X36" s="35"/>
      <c r="Z36" s="37"/>
      <c r="AA36" s="28"/>
      <c r="AB36" s="54"/>
    </row>
    <row r="37" spans="2:30" ht="15.75" thickTop="1">
      <c r="B37" s="33" t="s">
        <v>2</v>
      </c>
      <c r="C37" s="51"/>
      <c r="D37" s="10" t="str">
        <f>IF(D36&gt;0,"ADIT Benefit","ADIT Incr")</f>
        <v>ADIT Incr</v>
      </c>
      <c r="E37" s="55"/>
      <c r="F37" s="10" t="str">
        <f>IF(F36&gt;0,"ADIT Benefit","ADIT Incr")</f>
        <v>ADIT Incr</v>
      </c>
      <c r="G37" s="10" t="str">
        <f>IF(G36&gt;0,"ADIT Benefit","ADIT Incr")</f>
        <v>ADIT Incr</v>
      </c>
      <c r="H37" s="55"/>
      <c r="I37" s="43" t="s">
        <v>55</v>
      </c>
      <c r="J37" s="45"/>
      <c r="K37" s="45"/>
      <c r="M37" s="45"/>
      <c r="N37" s="45"/>
      <c r="O37" s="45"/>
      <c r="P37" s="46"/>
      <c r="Q37" s="24"/>
      <c r="R37" s="24"/>
      <c r="S37" s="24"/>
      <c r="T37" s="45"/>
      <c r="V37" s="45"/>
      <c r="W37" s="45"/>
      <c r="X37" s="45"/>
      <c r="Z37" s="37"/>
      <c r="AA37" s="28"/>
      <c r="AD37" s="56"/>
    </row>
    <row r="38" spans="2:30" ht="15">
      <c r="B38" s="33"/>
      <c r="C38" s="51"/>
      <c r="D38" s="33"/>
      <c r="E38" s="55"/>
      <c r="F38" s="55"/>
      <c r="G38" s="55"/>
      <c r="H38" s="55"/>
      <c r="I38" s="55"/>
      <c r="J38" s="55"/>
      <c r="K38" s="55"/>
      <c r="M38" s="55"/>
      <c r="N38" s="55"/>
      <c r="O38" s="45"/>
      <c r="P38" s="57"/>
      <c r="Q38" s="24"/>
      <c r="R38" s="24"/>
      <c r="S38" s="55"/>
      <c r="T38" s="55"/>
      <c r="V38" s="55"/>
      <c r="W38" s="55"/>
      <c r="X38" s="55"/>
      <c r="Z38" s="37"/>
      <c r="AA38" s="28"/>
      <c r="AB38" s="58"/>
      <c r="AD38" s="58"/>
    </row>
    <row r="39" spans="2:30" ht="15">
      <c r="B39" s="33"/>
      <c r="C39" s="51"/>
      <c r="D39" s="35"/>
      <c r="E39" s="35"/>
      <c r="F39" s="35"/>
      <c r="G39" s="35"/>
      <c r="H39" s="35"/>
      <c r="I39" s="35"/>
      <c r="J39" s="35"/>
      <c r="K39" s="35"/>
      <c r="M39" s="35"/>
      <c r="N39" s="35"/>
      <c r="O39" s="10"/>
      <c r="P39" s="40"/>
      <c r="Q39" s="24"/>
      <c r="R39" s="24"/>
      <c r="S39" s="35"/>
      <c r="T39" s="35"/>
      <c r="V39" s="35"/>
      <c r="W39" s="35"/>
      <c r="X39" s="35"/>
      <c r="Z39" s="35"/>
      <c r="AA39" s="54"/>
      <c r="AB39" s="54"/>
      <c r="AD39" s="54"/>
    </row>
    <row r="40" spans="2:30" ht="15.75">
      <c r="B40" s="59" t="s">
        <v>56</v>
      </c>
      <c r="C40" s="10"/>
      <c r="D40" s="42">
        <f>D34+D20</f>
        <v>-92617483</v>
      </c>
      <c r="E40" s="35"/>
      <c r="F40" s="42">
        <f>F34+F20</f>
        <v>-5270201</v>
      </c>
      <c r="G40" s="42">
        <f>G34+G20</f>
        <v>-97887684</v>
      </c>
      <c r="H40" s="35"/>
      <c r="I40" s="35"/>
      <c r="J40" s="35"/>
      <c r="K40" s="35"/>
      <c r="M40" s="35"/>
      <c r="N40" s="35"/>
      <c r="O40" s="10"/>
      <c r="P40" s="40"/>
      <c r="Q40" s="24"/>
      <c r="R40" s="24"/>
      <c r="S40" s="35"/>
      <c r="T40" s="35"/>
      <c r="U40" s="35"/>
      <c r="V40" s="35"/>
      <c r="W40" s="35"/>
      <c r="X40" s="35"/>
      <c r="Z40" s="35"/>
      <c r="AA40" s="54"/>
      <c r="AB40" s="54"/>
      <c r="AD40" s="54"/>
    </row>
    <row r="41" spans="2:30" ht="15">
      <c r="B41" s="33" t="s">
        <v>38</v>
      </c>
      <c r="C41" s="51"/>
      <c r="D41" s="39">
        <f>-(0.38759091-0.2555638749)</f>
        <v>-0.13202703510000002</v>
      </c>
      <c r="E41" s="33"/>
      <c r="F41" s="39">
        <f>-(0.38759091-0.2555638749)</f>
        <v>-0.13202703510000002</v>
      </c>
      <c r="G41" s="39">
        <f>-(0.38759091-0.2555638749)</f>
        <v>-0.13202703510000002</v>
      </c>
      <c r="H41" s="33"/>
      <c r="I41" s="33"/>
      <c r="J41" s="33"/>
      <c r="K41" s="33"/>
      <c r="M41" s="33"/>
      <c r="N41" s="33"/>
      <c r="O41" s="51"/>
      <c r="P41" s="60"/>
      <c r="Q41" s="24"/>
      <c r="R41" s="24"/>
      <c r="S41" s="33"/>
      <c r="T41" s="33"/>
      <c r="U41" s="33"/>
      <c r="V41" s="33"/>
      <c r="W41" s="33"/>
      <c r="X41" s="33"/>
      <c r="Z41" s="33"/>
      <c r="AA41" s="4"/>
      <c r="AB41" s="4"/>
      <c r="AD41" s="4"/>
    </row>
    <row r="42" spans="2:26" ht="15">
      <c r="B42" s="61" t="s">
        <v>57</v>
      </c>
      <c r="C42" s="51"/>
      <c r="D42" s="42">
        <f>+D40*D41</f>
        <v>12228011.678914655</v>
      </c>
      <c r="E42" s="35" t="s">
        <v>58</v>
      </c>
      <c r="F42" s="42">
        <f>+F40*F41</f>
        <v>695809.0124110553</v>
      </c>
      <c r="G42" s="42">
        <f>+G40*G41</f>
        <v>12923820.691325711</v>
      </c>
      <c r="H42" s="35"/>
      <c r="I42" s="35"/>
      <c r="J42" s="35"/>
      <c r="K42" s="35"/>
      <c r="M42" s="35"/>
      <c r="N42" s="35"/>
      <c r="O42" s="10"/>
      <c r="P42" s="40"/>
      <c r="Q42" s="35"/>
      <c r="R42" s="35"/>
      <c r="S42" s="35"/>
      <c r="T42" s="35"/>
      <c r="U42" s="35"/>
      <c r="V42" s="35"/>
      <c r="W42" s="35"/>
      <c r="X42" s="35"/>
      <c r="Z42" s="35"/>
    </row>
    <row r="43" spans="2:26" ht="15">
      <c r="B43" s="61" t="s">
        <v>59</v>
      </c>
      <c r="C43" s="51"/>
      <c r="D43" s="10" t="str">
        <f>IF(D42&gt;0,"ADIT Benefit","ADIT Incr")</f>
        <v>ADIT Benefit</v>
      </c>
      <c r="E43" s="35"/>
      <c r="F43" s="35"/>
      <c r="G43" s="35"/>
      <c r="H43" s="35"/>
      <c r="I43" s="35"/>
      <c r="J43" s="35"/>
      <c r="K43" s="35"/>
      <c r="M43" s="35"/>
      <c r="N43" s="35"/>
      <c r="O43" s="10"/>
      <c r="P43" s="40"/>
      <c r="Q43" s="35"/>
      <c r="R43" s="35"/>
      <c r="S43" s="35"/>
      <c r="T43" s="35"/>
      <c r="U43" s="35"/>
      <c r="V43" s="35"/>
      <c r="W43" s="35"/>
      <c r="X43" s="35"/>
      <c r="Z43" s="35"/>
    </row>
    <row r="44" spans="2:26" ht="15">
      <c r="B44" s="33"/>
      <c r="C44" s="51"/>
      <c r="D44" s="10"/>
      <c r="E44" s="35"/>
      <c r="F44" s="35"/>
      <c r="G44" s="35"/>
      <c r="H44" s="35"/>
      <c r="I44" s="35"/>
      <c r="J44" s="35"/>
      <c r="K44" s="35"/>
      <c r="M44" s="35"/>
      <c r="N44" s="35"/>
      <c r="O44" s="10"/>
      <c r="P44" s="40"/>
      <c r="Q44" s="35"/>
      <c r="R44" s="35"/>
      <c r="S44" s="35"/>
      <c r="T44" s="35"/>
      <c r="U44" s="35"/>
      <c r="V44" s="35"/>
      <c r="W44" s="35"/>
      <c r="X44" s="35"/>
      <c r="Z44" s="35"/>
    </row>
    <row r="45" spans="1:26" ht="15.75">
      <c r="A45" s="62" t="s">
        <v>60</v>
      </c>
      <c r="B45" s="33"/>
      <c r="C45" s="51"/>
      <c r="D45" s="10" t="s">
        <v>2</v>
      </c>
      <c r="E45" s="35"/>
      <c r="F45" s="35"/>
      <c r="G45" s="35"/>
      <c r="H45" s="35"/>
      <c r="I45" s="35"/>
      <c r="J45" s="35"/>
      <c r="K45" s="35"/>
      <c r="M45" s="35"/>
      <c r="N45" s="35"/>
      <c r="O45" s="10"/>
      <c r="P45" s="40"/>
      <c r="Q45" s="35"/>
      <c r="R45" s="35"/>
      <c r="S45" s="35"/>
      <c r="T45" s="35"/>
      <c r="U45" s="35"/>
      <c r="V45" s="35"/>
      <c r="W45" s="35"/>
      <c r="X45" s="35"/>
      <c r="Z45" s="35"/>
    </row>
    <row r="46" spans="2:26" ht="15.75">
      <c r="B46" s="63"/>
      <c r="C46" s="51"/>
      <c r="D46" s="10" t="s">
        <v>24</v>
      </c>
      <c r="E46" s="35"/>
      <c r="F46" s="35"/>
      <c r="G46" s="35"/>
      <c r="H46" s="35"/>
      <c r="I46" s="35"/>
      <c r="J46" s="35"/>
      <c r="K46" s="35"/>
      <c r="M46" s="35"/>
      <c r="N46" s="35"/>
      <c r="O46" s="10"/>
      <c r="P46" s="40"/>
      <c r="Q46" s="35"/>
      <c r="R46" s="35"/>
      <c r="S46" s="35"/>
      <c r="T46" s="35"/>
      <c r="U46" s="35"/>
      <c r="V46" s="35"/>
      <c r="W46" s="35"/>
      <c r="X46" s="35"/>
      <c r="Z46" s="35"/>
    </row>
    <row r="47" spans="2:26" ht="15">
      <c r="B47" s="47" t="s">
        <v>61</v>
      </c>
      <c r="C47" s="51"/>
      <c r="D47" s="10"/>
      <c r="E47" s="35"/>
      <c r="F47" s="35"/>
      <c r="G47" s="35"/>
      <c r="H47" s="35"/>
      <c r="I47" s="35"/>
      <c r="J47" s="35"/>
      <c r="K47" s="35"/>
      <c r="M47" s="35"/>
      <c r="N47" s="35"/>
      <c r="O47" s="10"/>
      <c r="P47" s="40"/>
      <c r="Q47" s="35"/>
      <c r="R47" s="35"/>
      <c r="S47" s="35"/>
      <c r="T47" s="35"/>
      <c r="U47" s="35"/>
      <c r="V47" s="35"/>
      <c r="W47" s="35"/>
      <c r="X47" s="35"/>
      <c r="Z47" s="35"/>
    </row>
    <row r="48" spans="2:30" ht="15">
      <c r="B48" s="33" t="s">
        <v>62</v>
      </c>
      <c r="C48" s="51" t="s">
        <v>2</v>
      </c>
      <c r="D48" s="35">
        <v>250526156</v>
      </c>
      <c r="E48" s="35"/>
      <c r="F48" s="35">
        <f>3752084+30242518</f>
        <v>33994602</v>
      </c>
      <c r="G48" s="35">
        <f>SUM(D48:F48)</f>
        <v>284520758</v>
      </c>
      <c r="H48" s="35"/>
      <c r="I48" s="35"/>
      <c r="J48" s="35"/>
      <c r="K48" s="35"/>
      <c r="M48" s="35"/>
      <c r="N48" s="35"/>
      <c r="O48" s="10"/>
      <c r="P48" s="40"/>
      <c r="Q48" s="35" t="s">
        <v>2</v>
      </c>
      <c r="R48" s="35"/>
      <c r="S48" s="35"/>
      <c r="T48" s="35"/>
      <c r="U48" s="35"/>
      <c r="V48" s="35"/>
      <c r="W48" s="35"/>
      <c r="X48" s="35"/>
      <c r="Z48" s="35"/>
      <c r="AA48" s="54"/>
      <c r="AB48" s="54"/>
      <c r="AD48" s="54"/>
    </row>
    <row r="49" spans="2:30" ht="15">
      <c r="B49" s="33" t="s">
        <v>63</v>
      </c>
      <c r="D49" s="39">
        <f>-(0.65-0.79)*0.05660367</f>
        <v>0.007924513800000001</v>
      </c>
      <c r="E49" s="35"/>
      <c r="F49" s="39">
        <f>-(0.65-0.79)*0.05660367</f>
        <v>0.007924513800000001</v>
      </c>
      <c r="G49" s="39">
        <f>-(0.65-0.79)*0.05660367</f>
        <v>0.007924513800000001</v>
      </c>
      <c r="H49" s="35"/>
      <c r="I49" s="35"/>
      <c r="J49" s="35"/>
      <c r="K49" s="35"/>
      <c r="M49" s="35"/>
      <c r="N49" s="35"/>
      <c r="O49" s="10"/>
      <c r="P49" s="40"/>
      <c r="Q49" s="35"/>
      <c r="R49" s="35"/>
      <c r="S49" s="35"/>
      <c r="T49" s="35"/>
      <c r="U49" s="35"/>
      <c r="V49" s="35"/>
      <c r="W49" s="35"/>
      <c r="X49" s="35"/>
      <c r="Z49" s="35"/>
      <c r="AA49" s="54"/>
      <c r="AB49" s="54"/>
      <c r="AD49" s="54"/>
    </row>
    <row r="50" spans="2:30" ht="15">
      <c r="B50" s="64" t="s">
        <v>64</v>
      </c>
      <c r="D50" s="42">
        <f>+D48*D49</f>
        <v>1985297.9804829531</v>
      </c>
      <c r="E50" s="43" t="s">
        <v>40</v>
      </c>
      <c r="F50" s="42">
        <f>+F48*F49</f>
        <v>269390.6926745076</v>
      </c>
      <c r="G50" s="42">
        <f>+G48*G49</f>
        <v>2254688.673157461</v>
      </c>
      <c r="H50" s="35"/>
      <c r="I50" s="55" t="s">
        <v>41</v>
      </c>
      <c r="J50" s="55"/>
      <c r="K50" s="35">
        <f>-G50/5</f>
        <v>-450937.7346314922</v>
      </c>
      <c r="L50" s="3">
        <v>-440115.2290003364</v>
      </c>
      <c r="M50" s="35">
        <v>-10822.505631155811</v>
      </c>
      <c r="N50" s="35"/>
      <c r="O50" s="29"/>
      <c r="P50" s="57"/>
      <c r="Q50" s="55"/>
      <c r="R50" s="55"/>
      <c r="S50" s="55"/>
      <c r="T50" s="55"/>
      <c r="U50" s="55"/>
      <c r="V50" s="35"/>
      <c r="W50" s="35"/>
      <c r="X50" s="35"/>
      <c r="Z50" s="35"/>
      <c r="AD50" s="58"/>
    </row>
    <row r="51" spans="2:30" ht="15">
      <c r="B51" s="55" t="s">
        <v>2</v>
      </c>
      <c r="C51" s="43" t="s">
        <v>2</v>
      </c>
      <c r="D51" s="33"/>
      <c r="E51" s="35"/>
      <c r="F51" s="35"/>
      <c r="G51" s="35"/>
      <c r="H51" s="35"/>
      <c r="I51" s="55"/>
      <c r="J51" s="55"/>
      <c r="L51" s="65">
        <f>L50/K50</f>
        <v>0.976</v>
      </c>
      <c r="M51" s="55"/>
      <c r="N51" s="55"/>
      <c r="O51" s="27"/>
      <c r="P51" s="57"/>
      <c r="Q51" s="55"/>
      <c r="R51" s="55"/>
      <c r="S51" s="55"/>
      <c r="T51" s="55"/>
      <c r="U51" s="55"/>
      <c r="V51" s="35"/>
      <c r="W51" s="35"/>
      <c r="X51" s="35"/>
      <c r="Z51" s="35"/>
      <c r="AA51" s="54"/>
      <c r="AB51" s="54"/>
      <c r="AD51" s="58"/>
    </row>
    <row r="52" spans="2:28" ht="15">
      <c r="B52" s="33"/>
      <c r="C52" s="51"/>
      <c r="D52" s="35" t="s">
        <v>2</v>
      </c>
      <c r="E52" s="35"/>
      <c r="F52" s="35"/>
      <c r="G52" s="35"/>
      <c r="H52" s="35"/>
      <c r="I52" s="35"/>
      <c r="J52" s="35"/>
      <c r="K52" s="35"/>
      <c r="M52" s="35"/>
      <c r="N52" s="35"/>
      <c r="O52" s="10"/>
      <c r="P52" s="40"/>
      <c r="Q52" s="35"/>
      <c r="R52" s="35"/>
      <c r="S52" s="35"/>
      <c r="T52" s="35"/>
      <c r="U52" s="35"/>
      <c r="V52" s="35"/>
      <c r="W52" s="35"/>
      <c r="X52" s="35"/>
      <c r="Z52" s="35"/>
      <c r="AA52" s="54"/>
      <c r="AB52" s="54"/>
    </row>
    <row r="53" spans="2:30" ht="15">
      <c r="B53" s="33" t="s">
        <v>65</v>
      </c>
      <c r="C53" s="51" t="s">
        <v>2</v>
      </c>
      <c r="D53" s="35">
        <f>-20856002+149087757+22614021</f>
        <v>150845776</v>
      </c>
      <c r="E53" s="35"/>
      <c r="F53" s="35">
        <v>0</v>
      </c>
      <c r="G53" s="35">
        <f>-20856002+149087757+22614021</f>
        <v>150845776</v>
      </c>
      <c r="H53" s="35"/>
      <c r="I53" s="35"/>
      <c r="J53" s="35"/>
      <c r="K53" s="35"/>
      <c r="L53" s="35"/>
      <c r="M53" s="35"/>
      <c r="N53" s="35"/>
      <c r="O53" s="10"/>
      <c r="P53" s="40"/>
      <c r="Q53" s="35"/>
      <c r="R53" s="35"/>
      <c r="S53" s="35"/>
      <c r="T53" s="35"/>
      <c r="U53" s="35"/>
      <c r="V53" s="35"/>
      <c r="W53" s="35"/>
      <c r="X53" s="35"/>
      <c r="Z53" s="35"/>
      <c r="AD53" s="54"/>
    </row>
    <row r="54" spans="2:28" ht="15">
      <c r="B54" s="33" t="s">
        <v>66</v>
      </c>
      <c r="C54" s="51"/>
      <c r="D54" s="39">
        <f>-(0.65-0.79)</f>
        <v>0.14</v>
      </c>
      <c r="E54" s="35"/>
      <c r="F54" s="39">
        <f>-(0.65-0.79)</f>
        <v>0.14</v>
      </c>
      <c r="G54" s="39">
        <f>-(0.65-0.79)</f>
        <v>0.14</v>
      </c>
      <c r="H54" s="35"/>
      <c r="I54" s="35"/>
      <c r="J54" s="35"/>
      <c r="K54" s="35"/>
      <c r="L54" s="35"/>
      <c r="M54" s="35"/>
      <c r="N54" s="35"/>
      <c r="O54" s="10"/>
      <c r="P54" s="40"/>
      <c r="R54" s="35"/>
      <c r="S54" s="35"/>
      <c r="U54" s="35"/>
      <c r="V54" s="35"/>
      <c r="W54" s="35"/>
      <c r="X54" s="35"/>
      <c r="Z54" s="35"/>
      <c r="AA54" s="54"/>
      <c r="AB54" s="54"/>
    </row>
    <row r="55" spans="2:30" ht="15">
      <c r="B55" s="64" t="s">
        <v>64</v>
      </c>
      <c r="C55" s="1" t="s">
        <v>2</v>
      </c>
      <c r="D55" s="42">
        <f>+D53*D54</f>
        <v>21118408.64</v>
      </c>
      <c r="E55" s="43" t="s">
        <v>40</v>
      </c>
      <c r="F55" s="42">
        <f>+F53*F54</f>
        <v>0</v>
      </c>
      <c r="G55" s="42">
        <f>+G53*G54</f>
        <v>21118408.64</v>
      </c>
      <c r="H55" s="35"/>
      <c r="I55" s="55" t="s">
        <v>41</v>
      </c>
      <c r="J55" s="55"/>
      <c r="K55" s="35">
        <f>-G55/5</f>
        <v>-4223681.728</v>
      </c>
      <c r="L55" s="3">
        <f>K55</f>
        <v>-4223681.728</v>
      </c>
      <c r="M55" s="35"/>
      <c r="N55" s="35"/>
      <c r="O55" s="27"/>
      <c r="P55" s="40"/>
      <c r="R55" s="35"/>
      <c r="S55" s="35"/>
      <c r="U55" s="55"/>
      <c r="V55" s="35"/>
      <c r="W55" s="35"/>
      <c r="X55" s="35"/>
      <c r="Z55" s="35"/>
      <c r="AA55" s="54"/>
      <c r="AB55" s="54"/>
      <c r="AD55" s="58"/>
    </row>
    <row r="56" spans="2:30" ht="15">
      <c r="B56" s="33"/>
      <c r="C56" s="51"/>
      <c r="D56" s="33"/>
      <c r="E56" s="33"/>
      <c r="F56" s="33"/>
      <c r="G56" s="33"/>
      <c r="H56" s="33"/>
      <c r="I56" s="55"/>
      <c r="J56" s="55"/>
      <c r="K56" s="55"/>
      <c r="L56" s="55"/>
      <c r="M56" s="55"/>
      <c r="N56" s="55"/>
      <c r="O56" s="55"/>
      <c r="P56" s="40"/>
      <c r="R56" s="35"/>
      <c r="S56" s="35"/>
      <c r="U56" s="55"/>
      <c r="V56" s="35"/>
      <c r="W56" s="35"/>
      <c r="X56" s="35"/>
      <c r="Z56" s="35"/>
      <c r="AD56" s="58"/>
    </row>
    <row r="57" spans="2:30" ht="15">
      <c r="B57" s="33" t="s">
        <v>67</v>
      </c>
      <c r="C57" s="51"/>
      <c r="D57" s="35"/>
      <c r="E57" s="33"/>
      <c r="F57" s="33"/>
      <c r="G57" s="33"/>
      <c r="H57" s="33"/>
      <c r="I57" s="55"/>
      <c r="J57" s="55"/>
      <c r="K57" s="55"/>
      <c r="L57" s="35"/>
      <c r="N57" s="35"/>
      <c r="O57" s="35"/>
      <c r="P57" s="40"/>
      <c r="R57" s="66"/>
      <c r="S57" s="35"/>
      <c r="U57" s="55"/>
      <c r="V57" s="35"/>
      <c r="W57" s="35"/>
      <c r="X57" s="35"/>
      <c r="Z57" s="35"/>
      <c r="AA57" s="54"/>
      <c r="AB57" s="54"/>
      <c r="AD57" s="58"/>
    </row>
    <row r="58" spans="2:28" ht="15">
      <c r="B58" s="33"/>
      <c r="C58" s="5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/>
      <c r="R58" s="35"/>
      <c r="S58" s="35"/>
      <c r="U58" s="35"/>
      <c r="V58" s="35"/>
      <c r="W58" s="35"/>
      <c r="X58" s="35"/>
      <c r="Z58" s="35"/>
      <c r="AA58" s="54"/>
      <c r="AB58" s="54"/>
    </row>
    <row r="59" spans="2:26" ht="15.75" thickBot="1">
      <c r="B59" s="61" t="s">
        <v>68</v>
      </c>
      <c r="C59" s="10" t="s">
        <v>69</v>
      </c>
      <c r="D59" s="44">
        <f>D55+D50+D42</f>
        <v>35331718.29939761</v>
      </c>
      <c r="E59" s="35"/>
      <c r="F59" s="44">
        <f>F55+F50+F42</f>
        <v>965199.7050855629</v>
      </c>
      <c r="G59" s="44">
        <f>G55+G50+G42</f>
        <v>36296918.00448317</v>
      </c>
      <c r="H59" s="35"/>
      <c r="I59" s="35"/>
      <c r="J59" s="35"/>
      <c r="K59" s="44">
        <f aca="true" t="shared" si="5" ref="K59:T59">SUM(K7:K58)</f>
        <v>-12160725.7835148</v>
      </c>
      <c r="L59" s="44">
        <f t="shared" si="5"/>
        <v>-9053502.056092475</v>
      </c>
      <c r="M59" s="44">
        <f t="shared" si="5"/>
        <v>-31875.46072737555</v>
      </c>
      <c r="N59" s="44">
        <f t="shared" si="5"/>
        <v>-268632.9790205242</v>
      </c>
      <c r="O59" s="44">
        <f t="shared" si="5"/>
        <v>-2806714.3116744254</v>
      </c>
      <c r="P59" s="67">
        <f t="shared" si="5"/>
        <v>4901342.182618167</v>
      </c>
      <c r="Q59" s="44">
        <f t="shared" si="5"/>
        <v>2882132.2733670413</v>
      </c>
      <c r="R59" s="44">
        <f t="shared" si="5"/>
        <v>0</v>
      </c>
      <c r="S59" s="44">
        <f t="shared" si="5"/>
        <v>0</v>
      </c>
      <c r="T59" s="44">
        <f t="shared" si="5"/>
        <v>2019209.9092511258</v>
      </c>
      <c r="U59" s="35"/>
      <c r="V59" s="35"/>
      <c r="W59" s="35"/>
      <c r="X59" s="35"/>
      <c r="Z59" s="35"/>
    </row>
    <row r="60" spans="2:28" ht="15.75" thickTop="1">
      <c r="B60" s="68" t="s">
        <v>70</v>
      </c>
      <c r="C60" s="51"/>
      <c r="D60" s="10" t="str">
        <f>IF(D59&gt;0,"Net ADIT Benefit","ADIT Incr")</f>
        <v>Net ADIT Benefit</v>
      </c>
      <c r="E60" s="35"/>
      <c r="F60" s="35" t="s">
        <v>2</v>
      </c>
      <c r="G60" s="35"/>
      <c r="H60" s="35"/>
      <c r="I60" s="35"/>
      <c r="J60" s="35"/>
      <c r="K60" s="69" t="s">
        <v>71</v>
      </c>
      <c r="L60" s="27">
        <f>+L59/$K59</f>
        <v>0.744486983529017</v>
      </c>
      <c r="M60" s="70">
        <f>+M59/$K59</f>
        <v>0.0026211807826952436</v>
      </c>
      <c r="N60" s="27">
        <f>+N59/$K59</f>
        <v>0.022090209400551217</v>
      </c>
      <c r="O60" s="27">
        <f>+O59/$K59</f>
        <v>0.230801546029369</v>
      </c>
      <c r="P60" s="69" t="s">
        <v>72</v>
      </c>
      <c r="Q60" s="27">
        <f>+Q59/$P59</f>
        <v>0.5880291899610818</v>
      </c>
      <c r="R60" s="27">
        <f>+R59/$P59</f>
        <v>0</v>
      </c>
      <c r="S60" s="27">
        <f>+S59/$P59</f>
        <v>0</v>
      </c>
      <c r="T60" s="27">
        <f>+T59/$P59</f>
        <v>0.4119708100389182</v>
      </c>
      <c r="U60" s="35"/>
      <c r="V60" s="35"/>
      <c r="W60" s="35"/>
      <c r="X60" s="35"/>
      <c r="Z60" s="35"/>
      <c r="AA60" s="54"/>
      <c r="AB60" s="54"/>
    </row>
    <row r="61" spans="9:28" ht="15">
      <c r="I61" s="35"/>
      <c r="J61" s="35"/>
      <c r="K61" s="35"/>
      <c r="L61" s="53"/>
      <c r="M61" s="53"/>
      <c r="N61" s="53"/>
      <c r="O61" s="53"/>
      <c r="P61" s="53"/>
      <c r="Q61" s="53"/>
      <c r="R61" s="53"/>
      <c r="S61" s="53"/>
      <c r="T61" s="53"/>
      <c r="U61" s="35"/>
      <c r="V61" s="35"/>
      <c r="W61" s="35"/>
      <c r="X61" s="35"/>
      <c r="Z61" s="35"/>
      <c r="AA61" s="54"/>
      <c r="AB61" s="54"/>
    </row>
    <row r="62" spans="9:30" ht="15"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2:30" ht="15.75" customHeight="1">
      <c r="B63" s="33"/>
      <c r="C63" s="51"/>
      <c r="D63" s="10" t="s">
        <v>4</v>
      </c>
      <c r="E63" s="35"/>
      <c r="F63" s="10" t="s">
        <v>73</v>
      </c>
      <c r="G63" s="10" t="s">
        <v>74</v>
      </c>
      <c r="H63" s="35"/>
      <c r="I63" s="35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35"/>
      <c r="AB63" s="35"/>
      <c r="AC63" s="35"/>
      <c r="AD63" s="35"/>
    </row>
    <row r="64" spans="2:30" ht="15">
      <c r="B64" s="47" t="s">
        <v>75</v>
      </c>
      <c r="C64" s="72"/>
      <c r="D64" s="73" t="s">
        <v>76</v>
      </c>
      <c r="E64" s="34"/>
      <c r="F64" s="73" t="s">
        <v>76</v>
      </c>
      <c r="G64" s="73" t="s">
        <v>76</v>
      </c>
      <c r="H64" s="35"/>
      <c r="J64" s="71"/>
      <c r="K64" s="71"/>
      <c r="L64" s="74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35"/>
      <c r="AB64" s="35"/>
      <c r="AC64" s="35"/>
      <c r="AD64" s="35"/>
    </row>
    <row r="65" spans="2:26" ht="15">
      <c r="B65" s="33"/>
      <c r="C65" s="51"/>
      <c r="D65" s="10" t="s">
        <v>77</v>
      </c>
      <c r="E65" s="35"/>
      <c r="F65" s="10" t="s">
        <v>77</v>
      </c>
      <c r="G65" s="10" t="s">
        <v>77</v>
      </c>
      <c r="H65" s="35" t="s">
        <v>78</v>
      </c>
      <c r="J65" s="35"/>
      <c r="K65" s="35"/>
      <c r="L65" s="7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2:26" ht="15.75" thickBot="1">
      <c r="B66" s="33"/>
      <c r="C66" s="51"/>
      <c r="D66" s="10"/>
      <c r="E66" s="35"/>
      <c r="F66" s="35"/>
      <c r="G66" s="4"/>
      <c r="I66" s="76"/>
      <c r="J66" s="35"/>
      <c r="K66" s="77" t="s">
        <v>79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35"/>
      <c r="X66" s="35"/>
      <c r="Y66" s="35"/>
      <c r="Z66" s="35"/>
    </row>
    <row r="67" spans="9:26" ht="15">
      <c r="I67" s="35"/>
      <c r="J67" s="35"/>
      <c r="K67" s="35"/>
      <c r="L67" s="78"/>
      <c r="N67" s="78"/>
      <c r="O67" s="49" t="s">
        <v>80</v>
      </c>
      <c r="P67" s="49" t="s">
        <v>81</v>
      </c>
      <c r="Q67" s="35"/>
      <c r="R67" s="35"/>
      <c r="S67" s="79">
        <v>1</v>
      </c>
      <c r="T67" s="35"/>
      <c r="U67" s="35"/>
      <c r="V67" s="35"/>
      <c r="W67" s="35"/>
      <c r="X67" s="35"/>
      <c r="Y67" s="35"/>
      <c r="Z67" s="35"/>
    </row>
    <row r="68" spans="2:30" ht="15.75" thickBot="1">
      <c r="B68" s="61" t="s">
        <v>82</v>
      </c>
      <c r="C68" s="43" t="s">
        <v>83</v>
      </c>
      <c r="D68" s="10">
        <f>D55+D50+D22</f>
        <v>59614303.55040559</v>
      </c>
      <c r="E68" s="35"/>
      <c r="F68" s="10">
        <f>F55+F50+F22</f>
        <v>1189325.3671684102</v>
      </c>
      <c r="G68" s="10">
        <f>G55+G50+G22</f>
        <v>60803628.917574</v>
      </c>
      <c r="H68" s="71" t="s">
        <v>84</v>
      </c>
      <c r="I68" s="35"/>
      <c r="J68" s="35"/>
      <c r="K68" s="80" t="s">
        <v>85</v>
      </c>
      <c r="L68" s="35"/>
      <c r="N68" s="35"/>
      <c r="O68" s="10" t="s">
        <v>86</v>
      </c>
      <c r="P68" s="10" t="s">
        <v>87</v>
      </c>
      <c r="Q68" s="10" t="s">
        <v>88</v>
      </c>
      <c r="R68" s="15" t="s">
        <v>20</v>
      </c>
      <c r="S68" s="14" t="s">
        <v>21</v>
      </c>
      <c r="T68" s="16" t="s">
        <v>22</v>
      </c>
      <c r="U68" s="16" t="s">
        <v>23</v>
      </c>
      <c r="V68" s="81" t="s">
        <v>89</v>
      </c>
      <c r="W68" s="35"/>
      <c r="X68" s="35"/>
      <c r="Y68" s="35"/>
      <c r="Z68" s="35"/>
      <c r="AA68" s="82"/>
      <c r="AB68" s="82"/>
      <c r="AC68" s="82"/>
      <c r="AD68" s="82"/>
    </row>
    <row r="69" spans="7:30" ht="15">
      <c r="G69" s="71" t="s">
        <v>2</v>
      </c>
      <c r="H69" s="35"/>
      <c r="I69" s="35"/>
      <c r="J69" s="35"/>
      <c r="V69" s="83"/>
      <c r="W69" s="35"/>
      <c r="X69" s="35"/>
      <c r="Y69" s="35"/>
      <c r="Z69" s="35"/>
      <c r="AA69" s="10"/>
      <c r="AB69" s="10"/>
      <c r="AC69" s="10"/>
      <c r="AD69" s="10"/>
    </row>
    <row r="70" spans="2:30" ht="15">
      <c r="B70" s="61" t="s">
        <v>90</v>
      </c>
      <c r="C70" s="43" t="s">
        <v>54</v>
      </c>
      <c r="D70" s="10">
        <f>D36</f>
        <v>-24282585.251007985</v>
      </c>
      <c r="E70" s="35"/>
      <c r="F70" s="10">
        <f>F36</f>
        <v>-224125.66208284744</v>
      </c>
      <c r="G70" s="10">
        <f>G36</f>
        <v>-24506710.913090833</v>
      </c>
      <c r="H70" s="71" t="s">
        <v>91</v>
      </c>
      <c r="I70" s="35"/>
      <c r="J70" s="35"/>
      <c r="K70" s="78" t="s">
        <v>92</v>
      </c>
      <c r="L70" s="78"/>
      <c r="O70" s="3">
        <f>G79*0.6</f>
        <v>-47360514</v>
      </c>
      <c r="P70" s="3">
        <f>G79*0.4</f>
        <v>-31573676</v>
      </c>
      <c r="Q70" s="117">
        <f>AVERAGE(O70:P70)</f>
        <v>-39467095</v>
      </c>
      <c r="T70" s="117">
        <f>+Q70</f>
        <v>-39467095</v>
      </c>
      <c r="V70" s="81">
        <f>SUM(R70:U70)</f>
        <v>-39467095</v>
      </c>
      <c r="W70" s="35"/>
      <c r="X70" s="35"/>
      <c r="Y70" s="35"/>
      <c r="Z70" s="35"/>
      <c r="AA70" s="10"/>
      <c r="AB70" s="10"/>
      <c r="AC70" s="10"/>
      <c r="AD70" s="10"/>
    </row>
    <row r="71" spans="9:22" ht="15">
      <c r="I71" s="35"/>
      <c r="K71" s="78" t="s">
        <v>93</v>
      </c>
      <c r="L71" s="78"/>
      <c r="O71" s="3">
        <f>-69138665-14704027-O70</f>
        <v>-36482178</v>
      </c>
      <c r="P71" s="3">
        <f>-46092443-P77-P70</f>
        <v>-24321451.365236335</v>
      </c>
      <c r="Q71" s="35">
        <f>AVERAGE(O71:P71)</f>
        <v>-30401814.682618167</v>
      </c>
      <c r="R71" s="3">
        <f>$Q71*L60</f>
        <v>-22633755.30687058</v>
      </c>
      <c r="S71" s="3">
        <f>$Q71*M60</f>
        <v>-79688.65240514083</v>
      </c>
      <c r="T71" s="3">
        <f>$Q71*N60</f>
        <v>-671582.4524957879</v>
      </c>
      <c r="U71" s="3">
        <f>$Q71*O60</f>
        <v>-7016785.830846643</v>
      </c>
      <c r="V71" s="81">
        <f>SUM(R71:U71)</f>
        <v>-30401812.24261815</v>
      </c>
    </row>
    <row r="72" spans="2:22" ht="15.75" thickBot="1">
      <c r="B72" s="61" t="s">
        <v>94</v>
      </c>
      <c r="C72" s="51"/>
      <c r="D72" s="44">
        <f>SUM(D68:D71)</f>
        <v>35331718.2993976</v>
      </c>
      <c r="E72" s="35"/>
      <c r="F72" s="44">
        <f>SUM(F68:F71)</f>
        <v>965199.7050855628</v>
      </c>
      <c r="G72" s="44">
        <f>SUM(G68:G71)</f>
        <v>36296918.00448317</v>
      </c>
      <c r="H72" s="35"/>
      <c r="K72" s="4"/>
      <c r="L72" s="3" t="s">
        <v>95</v>
      </c>
      <c r="N72" s="4"/>
      <c r="O72" s="30">
        <f>SUM(O70:O71)</f>
        <v>-83842692</v>
      </c>
      <c r="P72" s="30">
        <f aca="true" t="shared" si="6" ref="P72:V72">SUM(P70:P71)</f>
        <v>-55895127.365236335</v>
      </c>
      <c r="Q72" s="30">
        <f t="shared" si="6"/>
        <v>-69868909.68261817</v>
      </c>
      <c r="R72" s="84">
        <f t="shared" si="6"/>
        <v>-22633755.30687058</v>
      </c>
      <c r="S72" s="84">
        <f t="shared" si="6"/>
        <v>-79688.65240514083</v>
      </c>
      <c r="T72" s="84">
        <f t="shared" si="6"/>
        <v>-40138677.45249579</v>
      </c>
      <c r="U72" s="84">
        <f t="shared" si="6"/>
        <v>-7016785.830846643</v>
      </c>
      <c r="V72" s="85">
        <f t="shared" si="6"/>
        <v>-69868907.24261814</v>
      </c>
    </row>
    <row r="73" spans="2:22" ht="15.75" thickTop="1">
      <c r="B73" s="33"/>
      <c r="C73" s="51"/>
      <c r="D73" s="10"/>
      <c r="E73" s="35"/>
      <c r="F73" s="10"/>
      <c r="G73" s="10"/>
      <c r="H73" s="35"/>
      <c r="L73" s="4"/>
      <c r="M73" s="4"/>
      <c r="N73" s="4"/>
      <c r="O73" s="122" t="s">
        <v>96</v>
      </c>
      <c r="P73" s="122"/>
      <c r="Q73" s="122"/>
      <c r="R73" s="129" t="s">
        <v>121</v>
      </c>
      <c r="S73" s="129"/>
      <c r="T73" s="129"/>
      <c r="U73" s="129"/>
      <c r="V73" s="4"/>
    </row>
    <row r="74" spans="2:21" ht="15">
      <c r="B74" s="61" t="s">
        <v>97</v>
      </c>
      <c r="C74" s="51"/>
      <c r="D74" s="86">
        <v>0.343521543818035</v>
      </c>
      <c r="E74" s="35"/>
      <c r="F74" s="86">
        <v>0.343521543818035</v>
      </c>
      <c r="G74" s="86">
        <v>0.343521543818035</v>
      </c>
      <c r="H74" s="35"/>
      <c r="N74" s="3" t="s">
        <v>2</v>
      </c>
      <c r="O74" s="122"/>
      <c r="P74" s="122"/>
      <c r="Q74" s="122"/>
      <c r="R74" s="122"/>
      <c r="S74" s="122"/>
      <c r="T74" s="122"/>
      <c r="U74" s="122"/>
    </row>
    <row r="75" spans="2:8" ht="15">
      <c r="B75" s="33"/>
      <c r="C75" s="51"/>
      <c r="D75" s="10">
        <f>D72*D74</f>
        <v>12137206.415952982</v>
      </c>
      <c r="E75" s="35"/>
      <c r="F75" s="10">
        <f>F72*F74</f>
        <v>331566.8927837046</v>
      </c>
      <c r="G75" s="10">
        <f>G72*G74</f>
        <v>12468773.30873669</v>
      </c>
      <c r="H75" s="35"/>
    </row>
    <row r="76" spans="2:22" ht="15">
      <c r="B76" s="61"/>
      <c r="C76" s="51"/>
      <c r="D76" s="10"/>
      <c r="E76" s="35"/>
      <c r="F76" s="10"/>
      <c r="G76" s="10"/>
      <c r="H76" s="35"/>
      <c r="K76" s="80" t="s">
        <v>98</v>
      </c>
      <c r="V76" s="83"/>
    </row>
    <row r="77" spans="2:22" ht="15.75" thickBot="1">
      <c r="B77" s="61" t="s">
        <v>99</v>
      </c>
      <c r="C77" s="51"/>
      <c r="D77" s="87">
        <f>D72+D75</f>
        <v>47468924.71535058</v>
      </c>
      <c r="E77" s="35"/>
      <c r="F77" s="87">
        <f>F72+F75</f>
        <v>1296766.5978692675</v>
      </c>
      <c r="G77" s="87">
        <f>G72+G75</f>
        <v>48765691.31321986</v>
      </c>
      <c r="H77" s="35"/>
      <c r="K77" s="78" t="s">
        <v>100</v>
      </c>
      <c r="O77" s="116">
        <f>I36*0.6</f>
        <v>14704026.5478545</v>
      </c>
      <c r="P77" s="116">
        <f>I36*0.4</f>
        <v>9802684.365236333</v>
      </c>
      <c r="Q77" s="44">
        <f>AVERAGE(O77:P77)</f>
        <v>12253355.456545416</v>
      </c>
      <c r="R77" s="88">
        <f>Q77*Q60</f>
        <v>7205330.683417602</v>
      </c>
      <c r="S77" s="88">
        <v>0</v>
      </c>
      <c r="T77" s="88">
        <v>0</v>
      </c>
      <c r="U77" s="88">
        <f>Q77*T60</f>
        <v>5048024.773127814</v>
      </c>
      <c r="V77" s="89">
        <f>SUM(R77:U77)</f>
        <v>12253355.456545416</v>
      </c>
    </row>
    <row r="78" spans="2:22" ht="15.75" thickTop="1">
      <c r="B78" s="33"/>
      <c r="C78" s="51"/>
      <c r="D78" s="10"/>
      <c r="E78" s="35"/>
      <c r="F78" s="10"/>
      <c r="G78" s="10"/>
      <c r="H78" s="35"/>
      <c r="O78" s="122" t="s">
        <v>96</v>
      </c>
      <c r="P78" s="122"/>
      <c r="Q78" s="122"/>
      <c r="S78" s="90" t="s">
        <v>101</v>
      </c>
      <c r="V78" s="83"/>
    </row>
    <row r="79" spans="3:16" ht="15.75" thickBot="1">
      <c r="C79" s="3"/>
      <c r="D79" s="3" t="s">
        <v>102</v>
      </c>
      <c r="G79" s="88">
        <v>-78934190</v>
      </c>
      <c r="P79" s="90" t="s">
        <v>2</v>
      </c>
    </row>
    <row r="80" spans="3:23" ht="15.75" thickTop="1">
      <c r="C80" s="3"/>
      <c r="D80" s="91"/>
      <c r="G80" s="71"/>
      <c r="W80" s="4"/>
    </row>
    <row r="81" spans="3:17" ht="15">
      <c r="C81" s="3"/>
      <c r="D81" s="91"/>
      <c r="G81" s="92"/>
      <c r="L81" s="80"/>
      <c r="M81" s="80"/>
      <c r="N81" s="80"/>
      <c r="O81" s="35"/>
      <c r="P81" s="35"/>
      <c r="Q81" s="35"/>
    </row>
    <row r="82" spans="15:17" ht="15.75" thickBot="1">
      <c r="O82" s="122"/>
      <c r="P82" s="122"/>
      <c r="Q82" s="122"/>
    </row>
    <row r="83" spans="6:7" ht="21.75" customHeight="1" thickBot="1">
      <c r="F83" s="3" t="s">
        <v>103</v>
      </c>
      <c r="G83" s="93">
        <f>G79/5</f>
        <v>-15786838</v>
      </c>
    </row>
    <row r="84" spans="1:36" s="3" customFormat="1" ht="15">
      <c r="A84" s="1"/>
      <c r="B84" s="4"/>
      <c r="C84" s="1"/>
      <c r="G84" s="90" t="s">
        <v>2</v>
      </c>
      <c r="H84" s="94"/>
      <c r="I84" s="94"/>
      <c r="AE84" s="4"/>
      <c r="AF84" s="4"/>
      <c r="AG84" s="4"/>
      <c r="AH84" s="4"/>
      <c r="AI84" s="4"/>
      <c r="AJ84" s="4"/>
    </row>
    <row r="85" spans="1:36" s="3" customFormat="1" ht="15">
      <c r="A85" s="1"/>
      <c r="B85" s="4"/>
      <c r="C85" s="1"/>
      <c r="AE85" s="4"/>
      <c r="AF85" s="4"/>
      <c r="AG85" s="4"/>
      <c r="AH85" s="4"/>
      <c r="AI85" s="4"/>
      <c r="AJ85" s="4"/>
    </row>
    <row r="86" spans="1:36" s="3" customFormat="1" ht="15">
      <c r="A86" s="1"/>
      <c r="B86" s="4"/>
      <c r="C86" s="1"/>
      <c r="D86" s="95"/>
      <c r="E86" s="95"/>
      <c r="AE86" s="4"/>
      <c r="AF86" s="4"/>
      <c r="AG86" s="4"/>
      <c r="AH86" s="4"/>
      <c r="AI86" s="4"/>
      <c r="AJ86" s="4"/>
    </row>
    <row r="87" spans="1:36" s="3" customFormat="1" ht="15">
      <c r="A87" s="1"/>
      <c r="B87" s="4"/>
      <c r="C87" s="1"/>
      <c r="AE87" s="4"/>
      <c r="AF87" s="4"/>
      <c r="AG87" s="4"/>
      <c r="AH87" s="4"/>
      <c r="AI87" s="4"/>
      <c r="AJ87" s="4"/>
    </row>
    <row r="88" spans="1:36" s="3" customFormat="1" ht="15">
      <c r="A88" s="1"/>
      <c r="B88" s="4"/>
      <c r="C88" s="1"/>
      <c r="AE88" s="4"/>
      <c r="AF88" s="4"/>
      <c r="AG88" s="4"/>
      <c r="AH88" s="4"/>
      <c r="AI88" s="4"/>
      <c r="AJ88" s="4"/>
    </row>
    <row r="89" spans="1:36" s="3" customFormat="1" ht="15">
      <c r="A89" s="1"/>
      <c r="B89" s="4"/>
      <c r="C89" s="1"/>
      <c r="AE89" s="4"/>
      <c r="AF89" s="4"/>
      <c r="AG89" s="4"/>
      <c r="AH89" s="4"/>
      <c r="AI89" s="4"/>
      <c r="AJ89" s="4"/>
    </row>
    <row r="90" spans="1:36" s="3" customFormat="1" ht="15" customHeight="1">
      <c r="A90" s="1"/>
      <c r="B90" s="4"/>
      <c r="C90" s="1"/>
      <c r="AE90" s="4"/>
      <c r="AF90" s="4"/>
      <c r="AG90" s="4"/>
      <c r="AH90" s="4"/>
      <c r="AI90" s="4"/>
      <c r="AJ90" s="4"/>
    </row>
    <row r="91" spans="1:36" s="3" customFormat="1" ht="15">
      <c r="A91" s="1"/>
      <c r="B91" s="4"/>
      <c r="C91" s="1"/>
      <c r="AE91" s="4"/>
      <c r="AF91" s="4"/>
      <c r="AG91" s="4"/>
      <c r="AH91" s="4"/>
      <c r="AI91" s="4"/>
      <c r="AJ91" s="4"/>
    </row>
    <row r="92" spans="1:36" s="3" customFormat="1" ht="6.75" customHeight="1">
      <c r="A92" s="1"/>
      <c r="B92" s="4"/>
      <c r="C92" s="1"/>
      <c r="AE92" s="4"/>
      <c r="AF92" s="4"/>
      <c r="AG92" s="4"/>
      <c r="AH92" s="4"/>
      <c r="AI92" s="4"/>
      <c r="AJ92" s="4"/>
    </row>
    <row r="93" spans="1:36" s="3" customFormat="1" ht="15">
      <c r="A93" s="1"/>
      <c r="B93" s="4"/>
      <c r="C93" s="1"/>
      <c r="AE93" s="4"/>
      <c r="AF93" s="4"/>
      <c r="AG93" s="4"/>
      <c r="AH93" s="4"/>
      <c r="AI93" s="4"/>
      <c r="AJ93" s="4"/>
    </row>
    <row r="94" spans="1:36" s="3" customFormat="1" ht="15">
      <c r="A94" s="1"/>
      <c r="B94" s="4"/>
      <c r="C94" s="1"/>
      <c r="AE94" s="4"/>
      <c r="AF94" s="4"/>
      <c r="AG94" s="4"/>
      <c r="AH94" s="4"/>
      <c r="AI94" s="4"/>
      <c r="AJ94" s="4"/>
    </row>
    <row r="95" spans="1:36" s="3" customFormat="1" ht="15">
      <c r="A95" s="1"/>
      <c r="B95" s="4"/>
      <c r="C95" s="1"/>
      <c r="AE95" s="4"/>
      <c r="AF95" s="4"/>
      <c r="AG95" s="4"/>
      <c r="AH95" s="4"/>
      <c r="AI95" s="4"/>
      <c r="AJ95" s="4"/>
    </row>
    <row r="96" spans="1:36" s="3" customFormat="1" ht="15">
      <c r="A96" s="1"/>
      <c r="B96" s="4"/>
      <c r="C96" s="1"/>
      <c r="AE96" s="4"/>
      <c r="AF96" s="4"/>
      <c r="AG96" s="4"/>
      <c r="AH96" s="4"/>
      <c r="AI96" s="4"/>
      <c r="AJ96" s="4"/>
    </row>
    <row r="97" spans="1:36" s="3" customFormat="1" ht="15">
      <c r="A97" s="1"/>
      <c r="B97" s="4"/>
      <c r="C97" s="1"/>
      <c r="AE97" s="4"/>
      <c r="AF97" s="4"/>
      <c r="AG97" s="4"/>
      <c r="AH97" s="4"/>
      <c r="AI97" s="4"/>
      <c r="AJ97" s="4"/>
    </row>
    <row r="98" spans="1:36" s="3" customFormat="1" ht="15">
      <c r="A98" s="1"/>
      <c r="B98" s="4"/>
      <c r="C98" s="1"/>
      <c r="D98" s="95"/>
      <c r="E98" s="95"/>
      <c r="F98" s="118"/>
      <c r="G98" s="118"/>
      <c r="H98" s="119"/>
      <c r="I98" s="120"/>
      <c r="J98" s="121"/>
      <c r="AE98" s="4"/>
      <c r="AF98" s="4"/>
      <c r="AG98" s="4"/>
      <c r="AH98" s="4"/>
      <c r="AI98" s="4"/>
      <c r="AJ98" s="4"/>
    </row>
    <row r="99" spans="1:36" s="3" customFormat="1" ht="15">
      <c r="A99" s="1"/>
      <c r="B99" s="4"/>
      <c r="C99" s="1"/>
      <c r="D99" s="95"/>
      <c r="E99" s="95"/>
      <c r="F99" s="119"/>
      <c r="G99" s="119"/>
      <c r="H99" s="119"/>
      <c r="I99" s="119"/>
      <c r="J99" s="121"/>
      <c r="AE99" s="4"/>
      <c r="AF99" s="4"/>
      <c r="AG99" s="4"/>
      <c r="AH99" s="4"/>
      <c r="AI99" s="4"/>
      <c r="AJ99" s="4"/>
    </row>
    <row r="100" spans="1:36" s="3" customFormat="1" ht="15">
      <c r="A100" s="1"/>
      <c r="B100" s="4"/>
      <c r="C100" s="1"/>
      <c r="D100" s="95"/>
      <c r="E100" s="95"/>
      <c r="F100" s="119"/>
      <c r="G100" s="119"/>
      <c r="H100" s="119"/>
      <c r="I100" s="119"/>
      <c r="J100" s="121"/>
      <c r="AE100" s="4"/>
      <c r="AF100" s="4"/>
      <c r="AG100" s="4"/>
      <c r="AH100" s="4"/>
      <c r="AI100" s="4"/>
      <c r="AJ100" s="4"/>
    </row>
    <row r="101" spans="1:36" s="3" customFormat="1" ht="15">
      <c r="A101" s="1"/>
      <c r="B101" s="4"/>
      <c r="C101" s="1"/>
      <c r="D101" s="95"/>
      <c r="E101" s="95"/>
      <c r="F101" s="119"/>
      <c r="G101" s="119"/>
      <c r="H101" s="119"/>
      <c r="I101" s="119"/>
      <c r="J101" s="121"/>
      <c r="AE101" s="4"/>
      <c r="AF101" s="4"/>
      <c r="AG101" s="4"/>
      <c r="AH101" s="4"/>
      <c r="AI101" s="4"/>
      <c r="AJ101" s="4"/>
    </row>
    <row r="102" spans="1:36" s="3" customFormat="1" ht="15">
      <c r="A102" s="1"/>
      <c r="B102" s="4"/>
      <c r="C102" s="1"/>
      <c r="D102" s="95"/>
      <c r="E102" s="95"/>
      <c r="F102" s="119"/>
      <c r="G102" s="119"/>
      <c r="H102" s="119"/>
      <c r="I102" s="119"/>
      <c r="J102" s="121"/>
      <c r="AE102" s="4"/>
      <c r="AF102" s="4"/>
      <c r="AG102" s="4"/>
      <c r="AH102" s="4"/>
      <c r="AI102" s="4"/>
      <c r="AJ102" s="4"/>
    </row>
    <row r="103" spans="1:36" s="3" customFormat="1" ht="15">
      <c r="A103" s="1"/>
      <c r="B103" s="4"/>
      <c r="C103" s="1"/>
      <c r="D103" s="95"/>
      <c r="E103" s="95"/>
      <c r="F103" s="119"/>
      <c r="G103" s="119"/>
      <c r="H103" s="119"/>
      <c r="I103" s="119"/>
      <c r="J103" s="121"/>
      <c r="AE103" s="4"/>
      <c r="AF103" s="4"/>
      <c r="AG103" s="4"/>
      <c r="AH103" s="4"/>
      <c r="AI103" s="4"/>
      <c r="AJ103" s="4"/>
    </row>
    <row r="104" spans="1:36" s="3" customFormat="1" ht="15">
      <c r="A104" s="1"/>
      <c r="B104" s="4"/>
      <c r="C104" s="1"/>
      <c r="D104" s="95"/>
      <c r="E104" s="95"/>
      <c r="F104" s="119"/>
      <c r="G104" s="119"/>
      <c r="H104" s="119"/>
      <c r="I104" s="119"/>
      <c r="J104" s="121"/>
      <c r="AE104" s="4"/>
      <c r="AF104" s="4"/>
      <c r="AG104" s="4"/>
      <c r="AH104" s="4"/>
      <c r="AI104" s="4"/>
      <c r="AJ104" s="4"/>
    </row>
    <row r="105" spans="1:36" s="3" customFormat="1" ht="15">
      <c r="A105" s="1"/>
      <c r="B105" s="4"/>
      <c r="C105" s="1"/>
      <c r="AE105" s="4"/>
      <c r="AF105" s="4"/>
      <c r="AG105" s="4"/>
      <c r="AH105" s="4"/>
      <c r="AI105" s="4"/>
      <c r="AJ105" s="4"/>
    </row>
    <row r="106" spans="1:36" s="3" customFormat="1" ht="15">
      <c r="A106" s="1"/>
      <c r="B106" s="4"/>
      <c r="C106" s="1"/>
      <c r="AE106" s="4"/>
      <c r="AF106" s="4"/>
      <c r="AG106" s="4"/>
      <c r="AH106" s="4"/>
      <c r="AI106" s="4"/>
      <c r="AJ106" s="4"/>
    </row>
    <row r="107" spans="1:36" s="3" customFormat="1" ht="15">
      <c r="A107" s="1"/>
      <c r="B107" s="4"/>
      <c r="C107" s="1"/>
      <c r="AE107" s="4"/>
      <c r="AF107" s="4"/>
      <c r="AG107" s="4"/>
      <c r="AH107" s="4"/>
      <c r="AI107" s="4"/>
      <c r="AJ107" s="4"/>
    </row>
    <row r="108" spans="1:36" s="3" customFormat="1" ht="15">
      <c r="A108" s="1"/>
      <c r="B108" s="4"/>
      <c r="C108" s="1"/>
      <c r="AE108" s="4"/>
      <c r="AF108" s="4"/>
      <c r="AG108" s="4"/>
      <c r="AH108" s="4"/>
      <c r="AI108" s="4"/>
      <c r="AJ108" s="4"/>
    </row>
    <row r="109" spans="1:36" s="3" customFormat="1" ht="15">
      <c r="A109" s="1"/>
      <c r="B109" s="4"/>
      <c r="C109" s="1"/>
      <c r="AE109" s="4"/>
      <c r="AF109" s="4"/>
      <c r="AG109" s="4"/>
      <c r="AH109" s="4"/>
      <c r="AI109" s="4"/>
      <c r="AJ109" s="4"/>
    </row>
    <row r="110" spans="1:36" s="3" customFormat="1" ht="15">
      <c r="A110" s="1"/>
      <c r="B110" s="4"/>
      <c r="C110" s="1"/>
      <c r="AE110" s="4"/>
      <c r="AF110" s="4"/>
      <c r="AG110" s="4"/>
      <c r="AH110" s="4"/>
      <c r="AI110" s="4"/>
      <c r="AJ110" s="4"/>
    </row>
    <row r="111" spans="1:36" s="3" customFormat="1" ht="15">
      <c r="A111" s="1"/>
      <c r="B111" s="4"/>
      <c r="C111" s="1"/>
      <c r="AE111" s="4"/>
      <c r="AF111" s="4"/>
      <c r="AG111" s="4"/>
      <c r="AH111" s="4"/>
      <c r="AI111" s="4"/>
      <c r="AJ111" s="4"/>
    </row>
    <row r="112" spans="1:36" s="3" customFormat="1" ht="15">
      <c r="A112" s="1"/>
      <c r="B112" s="4"/>
      <c r="C112" s="1"/>
      <c r="AE112" s="4"/>
      <c r="AF112" s="4"/>
      <c r="AG112" s="4"/>
      <c r="AH112" s="4"/>
      <c r="AI112" s="4"/>
      <c r="AJ112" s="4"/>
    </row>
    <row r="113" spans="1:36" s="3" customFormat="1" ht="15">
      <c r="A113" s="1"/>
      <c r="B113" s="4"/>
      <c r="C113" s="1"/>
      <c r="AE113" s="4"/>
      <c r="AF113" s="4"/>
      <c r="AG113" s="4"/>
      <c r="AH113" s="4"/>
      <c r="AI113" s="4"/>
      <c r="AJ113" s="4"/>
    </row>
    <row r="114" spans="1:36" s="3" customFormat="1" ht="15">
      <c r="A114" s="1"/>
      <c r="B114" s="4"/>
      <c r="C114" s="1"/>
      <c r="AE114" s="4"/>
      <c r="AF114" s="4"/>
      <c r="AG114" s="4"/>
      <c r="AH114" s="4"/>
      <c r="AI114" s="4"/>
      <c r="AJ114" s="4"/>
    </row>
    <row r="257" ht="15">
      <c r="F257" s="3">
        <v>0</v>
      </c>
    </row>
  </sheetData>
  <sheetProtection/>
  <mergeCells count="11">
    <mergeCell ref="O74:Q74"/>
    <mergeCell ref="R74:U74"/>
    <mergeCell ref="O78:Q78"/>
    <mergeCell ref="O82:Q82"/>
    <mergeCell ref="K3:T3"/>
    <mergeCell ref="K4:O4"/>
    <mergeCell ref="P4:T4"/>
    <mergeCell ref="K5:O5"/>
    <mergeCell ref="P5:T5"/>
    <mergeCell ref="O73:Q73"/>
    <mergeCell ref="R73:U73"/>
  </mergeCells>
  <printOptions/>
  <pageMargins left="0.28" right="0.17" top="0.36" bottom="0.28" header="0.3" footer="0.17"/>
  <pageSetup horizontalDpi="600" verticalDpi="600" orientation="landscape" paperSize="5" scale="45" r:id="rId1"/>
  <headerFooter>
    <oddFooter>&amp;C&amp;P&amp;R&amp;Z&amp;F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5"/>
  <sheetViews>
    <sheetView zoomScale="82" zoomScaleNormal="82" zoomScalePageLayoutView="0" workbookViewId="0" topLeftCell="A1">
      <selection activeCell="I16" sqref="I16"/>
    </sheetView>
  </sheetViews>
  <sheetFormatPr defaultColWidth="9.140625" defaultRowHeight="15"/>
  <cols>
    <col min="1" max="1" width="5.421875" style="1" customWidth="1"/>
    <col min="2" max="2" width="62.8515625" style="4" customWidth="1"/>
    <col min="3" max="3" width="14.28125" style="1" customWidth="1"/>
    <col min="4" max="4" width="18.140625" style="3" customWidth="1"/>
    <col min="5" max="5" width="6.8515625" style="3" customWidth="1"/>
    <col min="6" max="6" width="17.8515625" style="3" customWidth="1"/>
    <col min="7" max="7" width="19.57421875" style="3" customWidth="1"/>
    <col min="8" max="8" width="4.00390625" style="3" customWidth="1"/>
    <col min="9" max="9" width="17.28125" style="3" customWidth="1"/>
    <col min="10" max="10" width="5.8515625" style="3" customWidth="1"/>
    <col min="11" max="12" width="19.28125" style="3" customWidth="1"/>
    <col min="13" max="13" width="13.8515625" style="3" bestFit="1" customWidth="1"/>
    <col min="14" max="14" width="16.57421875" style="3" customWidth="1"/>
    <col min="15" max="15" width="17.00390625" style="3" customWidth="1"/>
    <col min="16" max="16" width="15.421875" style="3" customWidth="1"/>
    <col min="17" max="17" width="19.28125" style="3" customWidth="1"/>
    <col min="18" max="18" width="21.28125" style="3" customWidth="1"/>
    <col min="19" max="19" width="14.00390625" style="3" customWidth="1"/>
    <col min="20" max="20" width="19.00390625" style="3" bestFit="1" customWidth="1"/>
    <col min="21" max="21" width="15.7109375" style="3" customWidth="1"/>
    <col min="22" max="22" width="15.57421875" style="3" customWidth="1"/>
    <col min="23" max="23" width="20.28125" style="3" customWidth="1"/>
    <col min="24" max="24" width="18.8515625" style="3" customWidth="1"/>
    <col min="25" max="25" width="16.57421875" style="3" customWidth="1"/>
    <col min="26" max="26" width="20.8515625" style="3" customWidth="1"/>
    <col min="27" max="27" width="19.421875" style="3" customWidth="1"/>
    <col min="28" max="28" width="13.8515625" style="3" customWidth="1"/>
    <col min="29" max="29" width="19.28125" style="3" bestFit="1" customWidth="1"/>
    <col min="30" max="30" width="21.57421875" style="3" bestFit="1" customWidth="1"/>
    <col min="31" max="33" width="9.140625" style="4" customWidth="1"/>
    <col min="34" max="34" width="14.57421875" style="4" customWidth="1"/>
    <col min="35" max="16384" width="9.140625" style="4" customWidth="1"/>
  </cols>
  <sheetData>
    <row r="1" ht="15">
      <c r="B1" s="2" t="s">
        <v>0</v>
      </c>
    </row>
    <row r="2" spans="2:30" ht="15.75">
      <c r="B2" s="2" t="s">
        <v>104</v>
      </c>
      <c r="C2" s="6" t="s">
        <v>2</v>
      </c>
      <c r="D2" s="7" t="s">
        <v>2</v>
      </c>
      <c r="E2" s="5"/>
      <c r="H2" s="5"/>
      <c r="AD2" s="5"/>
    </row>
    <row r="3" spans="2:22" ht="18.75">
      <c r="B3" s="2" t="s">
        <v>105</v>
      </c>
      <c r="D3" s="5" t="s">
        <v>4</v>
      </c>
      <c r="E3" s="5"/>
      <c r="H3" s="5"/>
      <c r="K3" s="123" t="s">
        <v>5</v>
      </c>
      <c r="L3" s="123"/>
      <c r="M3" s="123"/>
      <c r="N3" s="123"/>
      <c r="O3" s="123"/>
      <c r="P3" s="123"/>
      <c r="Q3" s="123"/>
      <c r="R3" s="123"/>
      <c r="S3" s="123"/>
      <c r="T3" s="123"/>
      <c r="U3" s="8"/>
      <c r="V3" s="8"/>
    </row>
    <row r="4" spans="1:22" ht="18.75">
      <c r="A4" s="2"/>
      <c r="B4" s="9" t="s">
        <v>106</v>
      </c>
      <c r="D4" s="96" t="s">
        <v>107</v>
      </c>
      <c r="E4" s="5"/>
      <c r="G4" s="5" t="s">
        <v>2</v>
      </c>
      <c r="H4" s="5"/>
      <c r="K4" s="124" t="s">
        <v>9</v>
      </c>
      <c r="L4" s="124"/>
      <c r="M4" s="124"/>
      <c r="N4" s="124"/>
      <c r="O4" s="124"/>
      <c r="P4" s="125" t="s">
        <v>10</v>
      </c>
      <c r="Q4" s="124"/>
      <c r="R4" s="124"/>
      <c r="S4" s="124"/>
      <c r="T4" s="124"/>
      <c r="U4" s="8"/>
      <c r="V4" s="8"/>
    </row>
    <row r="5" spans="1:22" ht="15">
      <c r="A5" s="2"/>
      <c r="D5" s="10" t="s">
        <v>11</v>
      </c>
      <c r="E5" s="5"/>
      <c r="F5" s="96" t="s">
        <v>73</v>
      </c>
      <c r="G5" s="96" t="s">
        <v>108</v>
      </c>
      <c r="H5" s="5"/>
      <c r="K5" s="126" t="s">
        <v>14</v>
      </c>
      <c r="L5" s="126"/>
      <c r="M5" s="126"/>
      <c r="N5" s="126"/>
      <c r="O5" s="127"/>
      <c r="P5" s="128" t="s">
        <v>109</v>
      </c>
      <c r="Q5" s="126"/>
      <c r="R5" s="126"/>
      <c r="S5" s="126"/>
      <c r="T5" s="126"/>
      <c r="U5" s="8"/>
      <c r="V5" s="8"/>
    </row>
    <row r="6" spans="1:29" s="11" customFormat="1" ht="30.75" customHeight="1" thickBot="1">
      <c r="A6" s="2" t="s">
        <v>2</v>
      </c>
      <c r="C6" s="12" t="s">
        <v>16</v>
      </c>
      <c r="D6" s="13" t="s">
        <v>17</v>
      </c>
      <c r="E6" s="13"/>
      <c r="F6" s="13" t="s">
        <v>17</v>
      </c>
      <c r="G6" s="13" t="s">
        <v>17</v>
      </c>
      <c r="H6" s="13"/>
      <c r="I6" s="13" t="s">
        <v>18</v>
      </c>
      <c r="J6" s="13"/>
      <c r="K6" s="14" t="s">
        <v>19</v>
      </c>
      <c r="L6" s="15" t="s">
        <v>20</v>
      </c>
      <c r="M6" s="14" t="s">
        <v>21</v>
      </c>
      <c r="N6" s="16" t="s">
        <v>22</v>
      </c>
      <c r="O6" s="16" t="s">
        <v>23</v>
      </c>
      <c r="P6" s="17" t="s">
        <v>19</v>
      </c>
      <c r="Q6" s="15" t="s">
        <v>20</v>
      </c>
      <c r="R6" s="14" t="s">
        <v>21</v>
      </c>
      <c r="S6" s="16" t="s">
        <v>22</v>
      </c>
      <c r="T6" s="16" t="s">
        <v>23</v>
      </c>
      <c r="U6" s="8"/>
      <c r="V6" s="8"/>
      <c r="W6" s="3"/>
      <c r="X6" s="3"/>
      <c r="Y6" s="3"/>
      <c r="Z6" s="3"/>
      <c r="AA6" s="3"/>
      <c r="AB6" s="3"/>
      <c r="AC6" s="3"/>
    </row>
    <row r="7" spans="2:22" ht="15">
      <c r="B7" s="9"/>
      <c r="C7" s="11"/>
      <c r="D7" s="97" t="s">
        <v>110</v>
      </c>
      <c r="F7" s="8" t="s">
        <v>111</v>
      </c>
      <c r="I7" s="98">
        <v>-0.013221340332003319</v>
      </c>
      <c r="K7" s="8" t="s">
        <v>111</v>
      </c>
      <c r="L7" s="8"/>
      <c r="M7" s="8"/>
      <c r="N7" s="8"/>
      <c r="O7" s="8"/>
      <c r="P7" s="20" t="s">
        <v>111</v>
      </c>
      <c r="R7" s="8"/>
      <c r="S7" s="8"/>
      <c r="U7" s="8"/>
      <c r="V7" s="8"/>
    </row>
    <row r="8" spans="2:30" ht="15">
      <c r="B8" s="21" t="s">
        <v>26</v>
      </c>
      <c r="C8" s="11"/>
      <c r="I8" s="3" t="s">
        <v>2</v>
      </c>
      <c r="O8" s="8"/>
      <c r="P8" s="22"/>
      <c r="U8" s="8"/>
      <c r="V8" s="8"/>
      <c r="AD8" s="23" t="s">
        <v>2</v>
      </c>
    </row>
    <row r="9" spans="2:30" ht="15.75">
      <c r="B9" s="9" t="s">
        <v>112</v>
      </c>
      <c r="C9" s="99" t="s">
        <v>2</v>
      </c>
      <c r="D9" s="3">
        <v>-6389423135</v>
      </c>
      <c r="E9" s="24"/>
      <c r="G9" s="24">
        <f aca="true" t="shared" si="0" ref="G9:G16">SUM(D9:F9)</f>
        <v>-6389423135</v>
      </c>
      <c r="H9" s="24"/>
      <c r="I9" s="24">
        <f aca="true" t="shared" si="1" ref="I9:I16">I$7*-G9</f>
        <v>-84476737.79301059</v>
      </c>
      <c r="K9" s="24"/>
      <c r="N9" s="3">
        <f>I9</f>
        <v>-84476737.79301059</v>
      </c>
      <c r="O9" s="8"/>
      <c r="P9" s="22"/>
      <c r="U9" s="8"/>
      <c r="V9" s="8"/>
      <c r="AD9" s="23"/>
    </row>
    <row r="10" spans="2:36" ht="15">
      <c r="B10" s="4" t="s">
        <v>27</v>
      </c>
      <c r="D10" s="3">
        <v>-107136248</v>
      </c>
      <c r="E10" s="24"/>
      <c r="F10" s="24"/>
      <c r="G10" s="24">
        <f t="shared" si="0"/>
        <v>-107136248</v>
      </c>
      <c r="H10" s="24"/>
      <c r="I10" s="24">
        <f t="shared" si="1"/>
        <v>-1416484.79670191</v>
      </c>
      <c r="J10" s="25"/>
      <c r="K10" s="24"/>
      <c r="M10" s="24"/>
      <c r="N10" s="24"/>
      <c r="O10" s="3">
        <f>I10</f>
        <v>-1416484.79670191</v>
      </c>
      <c r="P10" s="26"/>
      <c r="Q10" s="24"/>
      <c r="R10" s="24"/>
      <c r="S10" s="24"/>
      <c r="U10" s="8"/>
      <c r="V10" s="8"/>
      <c r="AE10" s="3"/>
      <c r="AF10" s="3"/>
      <c r="AG10" s="3"/>
      <c r="AH10" s="3"/>
      <c r="AI10" s="3"/>
      <c r="AJ10" s="3"/>
    </row>
    <row r="11" spans="2:22" ht="15">
      <c r="B11" s="4" t="s">
        <v>28</v>
      </c>
      <c r="G11" s="24">
        <f t="shared" si="0"/>
        <v>0</v>
      </c>
      <c r="H11" s="24"/>
      <c r="I11" s="24">
        <f t="shared" si="1"/>
        <v>0</v>
      </c>
      <c r="J11" s="24"/>
      <c r="K11" s="24">
        <v>0</v>
      </c>
      <c r="M11" s="24"/>
      <c r="N11" s="24"/>
      <c r="O11" s="27"/>
      <c r="P11" s="26"/>
      <c r="Q11" s="24"/>
      <c r="R11" s="24"/>
      <c r="S11" s="24"/>
      <c r="V11" s="24"/>
    </row>
    <row r="12" spans="2:28" ht="15">
      <c r="B12" s="4" t="s">
        <v>29</v>
      </c>
      <c r="D12" s="3">
        <v>-154281059</v>
      </c>
      <c r="G12" s="24">
        <f t="shared" si="0"/>
        <v>-154281059</v>
      </c>
      <c r="H12" s="24"/>
      <c r="I12" s="24">
        <f t="shared" si="1"/>
        <v>-2039802.3878208837</v>
      </c>
      <c r="J12" s="24"/>
      <c r="K12" s="24">
        <v>0</v>
      </c>
      <c r="L12" s="3">
        <f>+I12-M12</f>
        <v>-2001209.3266433126</v>
      </c>
      <c r="M12" s="24">
        <f>+I12*0.01892</f>
        <v>-38593.061177571115</v>
      </c>
      <c r="N12" s="24"/>
      <c r="O12" s="27"/>
      <c r="P12" s="26"/>
      <c r="Q12" s="24"/>
      <c r="R12" s="24"/>
      <c r="S12" s="24"/>
      <c r="V12" s="24"/>
      <c r="W12" s="24"/>
      <c r="X12" s="24"/>
      <c r="AB12" s="28"/>
    </row>
    <row r="13" spans="2:28" ht="15">
      <c r="B13" s="4" t="s">
        <v>30</v>
      </c>
      <c r="D13" s="3">
        <v>-10986462</v>
      </c>
      <c r="G13" s="24">
        <f t="shared" si="0"/>
        <v>-10986462</v>
      </c>
      <c r="H13" s="24"/>
      <c r="I13" s="24">
        <f t="shared" si="1"/>
        <v>-145255.75314662184</v>
      </c>
      <c r="J13" s="24"/>
      <c r="K13" s="24">
        <v>0</v>
      </c>
      <c r="L13" s="3">
        <f>I13</f>
        <v>-145255.75314662184</v>
      </c>
      <c r="M13" s="24"/>
      <c r="N13" s="24"/>
      <c r="O13" s="27"/>
      <c r="P13" s="26"/>
      <c r="Q13" s="24"/>
      <c r="R13" s="24"/>
      <c r="S13" s="24"/>
      <c r="V13" s="24"/>
      <c r="W13" s="24"/>
      <c r="X13" s="24"/>
      <c r="AB13" s="28"/>
    </row>
    <row r="14" spans="2:28" ht="15">
      <c r="B14" s="4" t="s">
        <v>31</v>
      </c>
      <c r="D14" s="3">
        <v>-6459899</v>
      </c>
      <c r="G14" s="24">
        <f t="shared" si="0"/>
        <v>-6459899</v>
      </c>
      <c r="H14" s="24"/>
      <c r="I14" s="24">
        <f t="shared" si="1"/>
        <v>-85408.5231893679</v>
      </c>
      <c r="J14" s="24"/>
      <c r="K14" s="24">
        <v>0</v>
      </c>
      <c r="L14" s="3">
        <f>I14</f>
        <v>-85408.5231893679</v>
      </c>
      <c r="M14" s="24"/>
      <c r="N14" s="24"/>
      <c r="O14" s="27"/>
      <c r="P14" s="26"/>
      <c r="Q14" s="24"/>
      <c r="R14" s="24"/>
      <c r="S14" s="24"/>
      <c r="V14" s="24"/>
      <c r="W14" s="24"/>
      <c r="X14" s="24"/>
      <c r="AA14" s="28"/>
      <c r="AB14" s="28"/>
    </row>
    <row r="15" spans="1:36" s="3" customFormat="1" ht="15">
      <c r="A15" s="1"/>
      <c r="B15" s="4" t="s">
        <v>32</v>
      </c>
      <c r="C15" s="1"/>
      <c r="D15" s="3">
        <v>-107136248</v>
      </c>
      <c r="G15" s="24">
        <f t="shared" si="0"/>
        <v>-107136248</v>
      </c>
      <c r="H15" s="24"/>
      <c r="I15" s="24">
        <f t="shared" si="1"/>
        <v>-1416484.79670191</v>
      </c>
      <c r="J15" s="24"/>
      <c r="K15" s="24">
        <v>0</v>
      </c>
      <c r="M15" s="24"/>
      <c r="N15" s="24"/>
      <c r="O15" s="3">
        <f>I15</f>
        <v>-1416484.79670191</v>
      </c>
      <c r="P15" s="26"/>
      <c r="Q15" s="24"/>
      <c r="R15" s="24"/>
      <c r="S15" s="24"/>
      <c r="V15" s="24"/>
      <c r="W15" s="24"/>
      <c r="X15" s="24"/>
      <c r="AA15" s="28"/>
      <c r="AB15" s="28"/>
      <c r="AE15" s="4"/>
      <c r="AF15" s="4"/>
      <c r="AG15" s="4"/>
      <c r="AH15" s="4"/>
      <c r="AI15" s="4"/>
      <c r="AJ15" s="4"/>
    </row>
    <row r="16" spans="1:36" s="3" customFormat="1" ht="15">
      <c r="A16" s="1"/>
      <c r="B16" s="4" t="s">
        <v>33</v>
      </c>
      <c r="C16" s="1"/>
      <c r="D16" s="3">
        <f>-204424999+278863668</f>
        <v>74438669</v>
      </c>
      <c r="G16" s="24">
        <f t="shared" si="0"/>
        <v>74438669</v>
      </c>
      <c r="H16" s="24"/>
      <c r="I16" s="24">
        <f t="shared" si="1"/>
        <v>984178.9767103451</v>
      </c>
      <c r="J16" s="24"/>
      <c r="K16" s="24">
        <v>0</v>
      </c>
      <c r="M16" s="24"/>
      <c r="N16" s="24"/>
      <c r="O16" s="29">
        <f>I16</f>
        <v>984178.9767103451</v>
      </c>
      <c r="P16" s="26"/>
      <c r="Q16" s="24"/>
      <c r="R16" s="24"/>
      <c r="S16" s="24"/>
      <c r="V16" s="24"/>
      <c r="W16" s="24"/>
      <c r="X16" s="24"/>
      <c r="AA16" s="28"/>
      <c r="AB16" s="28"/>
      <c r="AE16" s="4"/>
      <c r="AF16" s="4"/>
      <c r="AG16" s="4"/>
      <c r="AH16" s="4"/>
      <c r="AI16" s="4"/>
      <c r="AJ16" s="4"/>
    </row>
    <row r="17" spans="1:36" s="3" customFormat="1" ht="15">
      <c r="A17" s="1"/>
      <c r="B17" s="4" t="s">
        <v>113</v>
      </c>
      <c r="C17" s="1"/>
      <c r="D17" s="30">
        <f>SUM(D12:D16)</f>
        <v>-204424999</v>
      </c>
      <c r="F17" s="30">
        <f>SUM(F12:F16)</f>
        <v>0</v>
      </c>
      <c r="G17" s="30">
        <f>SUM(G12:G16)</f>
        <v>-204424999</v>
      </c>
      <c r="H17" s="31"/>
      <c r="I17" s="30">
        <f>SUM(I12:I16)</f>
        <v>-2702772.484148438</v>
      </c>
      <c r="J17" s="24"/>
      <c r="K17" s="24">
        <v>0</v>
      </c>
      <c r="O17" s="8"/>
      <c r="P17" s="26"/>
      <c r="Q17" s="24"/>
      <c r="R17" s="24"/>
      <c r="S17" s="24"/>
      <c r="V17" s="24"/>
      <c r="W17" s="24"/>
      <c r="X17" s="24"/>
      <c r="AA17" s="28"/>
      <c r="AB17" s="28"/>
      <c r="AE17" s="4"/>
      <c r="AF17" s="4"/>
      <c r="AG17" s="4"/>
      <c r="AH17" s="4"/>
      <c r="AI17" s="4"/>
      <c r="AJ17" s="4"/>
    </row>
    <row r="18" spans="1:36" s="3" customFormat="1" ht="15">
      <c r="A18" s="1"/>
      <c r="B18" s="4" t="s">
        <v>34</v>
      </c>
      <c r="C18" s="1"/>
      <c r="D18" s="3">
        <v>-7982926</v>
      </c>
      <c r="G18" s="24">
        <f>SUM(D18:F18)</f>
        <v>-7982926</v>
      </c>
      <c r="H18" s="24"/>
      <c r="I18" s="24">
        <f>-G18*D$20</f>
        <v>-105544.98149119792</v>
      </c>
      <c r="J18" s="24"/>
      <c r="K18" s="24">
        <v>0</v>
      </c>
      <c r="M18" s="24"/>
      <c r="N18" s="3">
        <f>I18</f>
        <v>-105544.98149119792</v>
      </c>
      <c r="O18" s="27"/>
      <c r="P18" s="26"/>
      <c r="Q18" s="24"/>
      <c r="R18" s="24"/>
      <c r="S18" s="24"/>
      <c r="V18" s="24"/>
      <c r="W18" s="24"/>
      <c r="X18" s="24"/>
      <c r="AA18" s="28"/>
      <c r="AB18" s="28"/>
      <c r="AE18" s="4"/>
      <c r="AF18" s="4"/>
      <c r="AG18" s="4"/>
      <c r="AH18" s="4"/>
      <c r="AI18" s="4"/>
      <c r="AJ18" s="4"/>
    </row>
    <row r="19" spans="1:36" s="3" customFormat="1" ht="15">
      <c r="A19" s="1"/>
      <c r="B19" s="33" t="s">
        <v>37</v>
      </c>
      <c r="C19" s="1"/>
      <c r="D19" s="35">
        <f>SUM(D18:D18)+D17+D10+D9</f>
        <v>-6708967308</v>
      </c>
      <c r="E19" s="35"/>
      <c r="F19" s="35">
        <f>SUM(F18:F18)+F17+F10+F9</f>
        <v>0</v>
      </c>
      <c r="G19" s="35">
        <f>SUM(G18:G18)+G17+G10+G9</f>
        <v>-6708967308</v>
      </c>
      <c r="H19" s="35">
        <f>SUM(H18:H18)+H17+H10</f>
        <v>0</v>
      </c>
      <c r="I19" s="35"/>
      <c r="J19" s="35"/>
      <c r="K19" s="24">
        <v>0</v>
      </c>
      <c r="M19" s="24"/>
      <c r="N19" s="24"/>
      <c r="O19" s="38"/>
      <c r="P19" s="26"/>
      <c r="Q19" s="24"/>
      <c r="R19" s="24"/>
      <c r="S19" s="24"/>
      <c r="V19" s="24"/>
      <c r="W19" s="24"/>
      <c r="X19" s="24"/>
      <c r="Z19" s="24"/>
      <c r="AA19" s="28"/>
      <c r="AB19" s="28"/>
      <c r="AE19" s="4"/>
      <c r="AF19" s="4"/>
      <c r="AG19" s="4"/>
      <c r="AH19" s="4"/>
      <c r="AI19" s="4"/>
      <c r="AJ19" s="4"/>
    </row>
    <row r="20" spans="1:36" s="3" customFormat="1" ht="15">
      <c r="A20" s="1"/>
      <c r="B20" s="33" t="s">
        <v>38</v>
      </c>
      <c r="C20" s="1"/>
      <c r="D20" s="39">
        <f>I7</f>
        <v>-0.013221340332003319</v>
      </c>
      <c r="E20" s="35"/>
      <c r="F20" s="39">
        <f>I7</f>
        <v>-0.013221340332003319</v>
      </c>
      <c r="G20" s="39">
        <f>I7</f>
        <v>-0.013221340332003319</v>
      </c>
      <c r="H20" s="39"/>
      <c r="I20" s="35"/>
      <c r="J20" s="35"/>
      <c r="K20" s="35"/>
      <c r="M20" s="35"/>
      <c r="N20" s="35"/>
      <c r="O20" s="10"/>
      <c r="P20" s="40"/>
      <c r="Q20" s="24"/>
      <c r="R20" s="24"/>
      <c r="S20" s="38"/>
      <c r="V20" s="35"/>
      <c r="W20" s="35"/>
      <c r="X20" s="35"/>
      <c r="Z20" s="35"/>
      <c r="AA20" s="28"/>
      <c r="AB20" s="28"/>
      <c r="AE20" s="4"/>
      <c r="AF20" s="4"/>
      <c r="AG20" s="4"/>
      <c r="AH20" s="4"/>
      <c r="AI20" s="4"/>
      <c r="AJ20" s="4"/>
    </row>
    <row r="21" spans="1:36" s="3" customFormat="1" ht="15.75" thickBot="1">
      <c r="A21" s="1"/>
      <c r="B21" s="41" t="s">
        <v>39</v>
      </c>
      <c r="C21" s="1"/>
      <c r="D21" s="42">
        <f>D19*D20</f>
        <v>88701540.05535214</v>
      </c>
      <c r="E21" s="43" t="s">
        <v>40</v>
      </c>
      <c r="F21" s="42">
        <f>F19*F20</f>
        <v>0</v>
      </c>
      <c r="G21" s="42">
        <f>G19*G20</f>
        <v>88701540.05535214</v>
      </c>
      <c r="H21" s="35"/>
      <c r="I21" s="44">
        <f>SUM(I18:I18)+I17+I10+I9</f>
        <v>-88701540.05535214</v>
      </c>
      <c r="J21" s="35"/>
      <c r="K21" s="35"/>
      <c r="M21" s="35"/>
      <c r="N21" s="35"/>
      <c r="O21" s="10"/>
      <c r="P21" s="40"/>
      <c r="Q21" s="24"/>
      <c r="R21" s="24"/>
      <c r="S21" s="38"/>
      <c r="V21" s="35"/>
      <c r="W21" s="35"/>
      <c r="X21" s="35"/>
      <c r="Z21" s="35"/>
      <c r="AA21" s="28"/>
      <c r="AE21" s="4"/>
      <c r="AF21" s="4"/>
      <c r="AG21" s="4"/>
      <c r="AH21" s="4"/>
      <c r="AI21" s="4"/>
      <c r="AJ21" s="4"/>
    </row>
    <row r="22" spans="1:36" s="3" customFormat="1" ht="19.5" thickTop="1">
      <c r="A22" s="1"/>
      <c r="B22" s="33"/>
      <c r="C22" s="1"/>
      <c r="D22" s="100" t="str">
        <f>IF(D21&gt;0,"ADIT Benefit","ADIT Incr")</f>
        <v>ADIT Benefit</v>
      </c>
      <c r="E22" s="35"/>
      <c r="F22" s="35"/>
      <c r="G22" s="35"/>
      <c r="H22" s="35"/>
      <c r="I22" s="101" t="str">
        <f>D23</f>
        <v>Reg Tax LIAB</v>
      </c>
      <c r="J22" s="45"/>
      <c r="K22" s="35"/>
      <c r="M22" s="35"/>
      <c r="N22" s="35"/>
      <c r="O22" s="10"/>
      <c r="P22" s="46"/>
      <c r="Q22" s="24"/>
      <c r="R22" s="24"/>
      <c r="S22" s="38"/>
      <c r="V22" s="45"/>
      <c r="W22" s="45"/>
      <c r="X22" s="45"/>
      <c r="Z22" s="45"/>
      <c r="AA22" s="28"/>
      <c r="AE22" s="4"/>
      <c r="AF22" s="4"/>
      <c r="AG22" s="4"/>
      <c r="AH22" s="4"/>
      <c r="AI22" s="4"/>
      <c r="AJ22" s="4"/>
    </row>
    <row r="23" spans="1:36" s="3" customFormat="1" ht="15">
      <c r="A23" s="1"/>
      <c r="B23" s="33"/>
      <c r="C23" s="1"/>
      <c r="D23" s="102" t="str">
        <f>IF(D21&lt;0,"Reg Tax ASSET","Reg Tax LIAB")</f>
        <v>Reg Tax LIAB</v>
      </c>
      <c r="E23" s="35"/>
      <c r="F23" s="35"/>
      <c r="G23" s="35"/>
      <c r="H23" s="35"/>
      <c r="I23" s="103"/>
      <c r="J23" s="35"/>
      <c r="K23" s="35"/>
      <c r="M23" s="35"/>
      <c r="N23" s="35"/>
      <c r="O23" s="10"/>
      <c r="P23" s="40"/>
      <c r="Q23" s="24"/>
      <c r="R23" s="24"/>
      <c r="S23" s="38"/>
      <c r="V23" s="35"/>
      <c r="W23" s="35"/>
      <c r="X23" s="35"/>
      <c r="Z23" s="35"/>
      <c r="AA23" s="28"/>
      <c r="AE23" s="4"/>
      <c r="AF23" s="4"/>
      <c r="AG23" s="4"/>
      <c r="AH23" s="4"/>
      <c r="AI23" s="4"/>
      <c r="AJ23" s="4"/>
    </row>
    <row r="24" spans="1:36" s="3" customFormat="1" ht="15">
      <c r="A24" s="1"/>
      <c r="B24" s="47" t="s">
        <v>42</v>
      </c>
      <c r="C24" s="1"/>
      <c r="D24" s="35"/>
      <c r="E24" s="35"/>
      <c r="F24" s="35"/>
      <c r="G24" s="35"/>
      <c r="H24" s="35"/>
      <c r="I24" s="35"/>
      <c r="J24" s="35"/>
      <c r="K24" s="35"/>
      <c r="M24" s="35"/>
      <c r="N24" s="35"/>
      <c r="O24" s="10"/>
      <c r="P24" s="40"/>
      <c r="Q24" s="24"/>
      <c r="R24" s="24"/>
      <c r="S24" s="38"/>
      <c r="V24" s="35"/>
      <c r="W24" s="35"/>
      <c r="X24" s="35"/>
      <c r="Z24" s="35"/>
      <c r="AA24" s="28"/>
      <c r="AE24" s="4"/>
      <c r="AF24" s="4"/>
      <c r="AG24" s="4"/>
      <c r="AH24" s="4"/>
      <c r="AI24" s="4"/>
      <c r="AJ24" s="4"/>
    </row>
    <row r="25" spans="1:36" s="3" customFormat="1" ht="15">
      <c r="A25" s="1"/>
      <c r="B25" s="33" t="s">
        <v>43</v>
      </c>
      <c r="C25" s="1"/>
      <c r="D25" s="35">
        <v>79551046</v>
      </c>
      <c r="E25" s="35" t="s">
        <v>2</v>
      </c>
      <c r="F25" s="35"/>
      <c r="G25" s="37">
        <f aca="true" t="shared" si="2" ref="G25:G34">SUM(D25:F25)</f>
        <v>79551046</v>
      </c>
      <c r="H25" s="35"/>
      <c r="I25" s="37">
        <f aca="true" t="shared" si="3" ref="I25:I34">-G25*D$20</f>
        <v>1051771.4529328514</v>
      </c>
      <c r="J25" s="48"/>
      <c r="K25" s="37"/>
      <c r="M25" s="37"/>
      <c r="N25" s="37"/>
      <c r="O25" s="49"/>
      <c r="P25" s="40"/>
      <c r="Q25" s="8">
        <f>I25</f>
        <v>1051771.4529328514</v>
      </c>
      <c r="R25" s="37"/>
      <c r="T25" s="28"/>
      <c r="AA25" s="28"/>
      <c r="AE25" s="4"/>
      <c r="AF25" s="4"/>
      <c r="AG25" s="4"/>
      <c r="AH25" s="4"/>
      <c r="AI25" s="4"/>
      <c r="AJ25" s="4"/>
    </row>
    <row r="26" spans="1:36" s="3" customFormat="1" ht="15">
      <c r="A26" s="1"/>
      <c r="B26" s="4" t="s">
        <v>114</v>
      </c>
      <c r="C26" s="1"/>
      <c r="D26" s="35">
        <v>867450299</v>
      </c>
      <c r="E26" s="3" t="s">
        <v>2</v>
      </c>
      <c r="F26" s="24"/>
      <c r="G26" s="24">
        <f>F26+D26</f>
        <v>867450299</v>
      </c>
      <c r="H26" s="24"/>
      <c r="I26" s="37">
        <f>-G26*D$20</f>
        <v>11468855.624177039</v>
      </c>
      <c r="J26" s="24"/>
      <c r="K26" s="24">
        <v>0</v>
      </c>
      <c r="M26" s="104"/>
      <c r="N26" s="105"/>
      <c r="O26" s="106"/>
      <c r="P26" s="26"/>
      <c r="Q26" s="8">
        <f>I26</f>
        <v>11468855.624177039</v>
      </c>
      <c r="R26" s="24"/>
      <c r="S26" s="24"/>
      <c r="V26" s="24"/>
      <c r="W26" s="24"/>
      <c r="X26" s="24"/>
      <c r="AA26" s="28"/>
      <c r="AB26" s="28" t="s">
        <v>2</v>
      </c>
      <c r="AE26" s="4"/>
      <c r="AF26" s="4"/>
      <c r="AG26" s="4"/>
      <c r="AH26" s="4"/>
      <c r="AI26" s="4"/>
      <c r="AJ26" s="4"/>
    </row>
    <row r="27" spans="1:36" s="3" customFormat="1" ht="15">
      <c r="A27" s="1"/>
      <c r="B27" s="33" t="s">
        <v>36</v>
      </c>
      <c r="C27" s="1"/>
      <c r="D27" s="35">
        <v>10870279</v>
      </c>
      <c r="F27" s="35"/>
      <c r="G27" s="37">
        <f>F27+D27</f>
        <v>10870279</v>
      </c>
      <c r="H27" s="37"/>
      <c r="I27" s="37">
        <f>-G27*D$20</f>
        <v>143719.6581628287</v>
      </c>
      <c r="J27" s="37"/>
      <c r="K27" s="24">
        <v>0</v>
      </c>
      <c r="M27" s="24"/>
      <c r="N27" s="24"/>
      <c r="O27" s="27"/>
      <c r="P27" s="26"/>
      <c r="Q27" s="8">
        <f>I27</f>
        <v>143719.6581628287</v>
      </c>
      <c r="R27" s="24"/>
      <c r="S27" s="24"/>
      <c r="V27" s="24"/>
      <c r="W27" s="24"/>
      <c r="X27" s="24"/>
      <c r="Z27" s="28" t="s">
        <v>2</v>
      </c>
      <c r="AA27" s="28"/>
      <c r="AB27" s="28"/>
      <c r="AE27" s="4"/>
      <c r="AF27" s="4"/>
      <c r="AG27" s="4"/>
      <c r="AH27" s="4"/>
      <c r="AI27" s="4"/>
      <c r="AJ27" s="4"/>
    </row>
    <row r="28" spans="1:36" s="3" customFormat="1" ht="15">
      <c r="A28" s="1"/>
      <c r="B28" s="33" t="s">
        <v>44</v>
      </c>
      <c r="C28" s="1"/>
      <c r="D28" s="35">
        <v>59761252</v>
      </c>
      <c r="E28" s="35" t="s">
        <v>2</v>
      </c>
      <c r="F28" s="37"/>
      <c r="G28" s="37">
        <f t="shared" si="2"/>
        <v>59761252</v>
      </c>
      <c r="H28" s="37"/>
      <c r="I28" s="37">
        <f t="shared" si="3"/>
        <v>790123.851358614</v>
      </c>
      <c r="J28" s="48"/>
      <c r="K28" s="37"/>
      <c r="M28" s="37"/>
      <c r="N28" s="37"/>
      <c r="O28" s="49"/>
      <c r="P28" s="40"/>
      <c r="Q28" s="24"/>
      <c r="R28" s="24"/>
      <c r="S28" s="49"/>
      <c r="T28" s="37">
        <f>I28</f>
        <v>790123.851358614</v>
      </c>
      <c r="U28" s="37"/>
      <c r="X28" s="37"/>
      <c r="Z28" s="37"/>
      <c r="AA28" s="28"/>
      <c r="AE28" s="4"/>
      <c r="AF28" s="4"/>
      <c r="AG28" s="4"/>
      <c r="AH28" s="4"/>
      <c r="AI28" s="4"/>
      <c r="AJ28" s="4"/>
    </row>
    <row r="29" spans="1:36" s="3" customFormat="1" ht="15">
      <c r="A29" s="1"/>
      <c r="B29" s="33" t="s">
        <v>45</v>
      </c>
      <c r="C29" s="1"/>
      <c r="D29" s="35">
        <v>6436251</v>
      </c>
      <c r="E29" s="35" t="s">
        <v>2</v>
      </c>
      <c r="F29" s="35"/>
      <c r="G29" s="37">
        <f t="shared" si="2"/>
        <v>6436251</v>
      </c>
      <c r="H29" s="35"/>
      <c r="I29" s="37">
        <f t="shared" si="3"/>
        <v>85095.86493319669</v>
      </c>
      <c r="J29" s="48"/>
      <c r="K29" s="37"/>
      <c r="M29" s="37"/>
      <c r="N29" s="37"/>
      <c r="O29" s="49"/>
      <c r="P29" s="40"/>
      <c r="Q29" s="24"/>
      <c r="R29" s="24"/>
      <c r="S29" s="49"/>
      <c r="T29" s="37">
        <f>I29</f>
        <v>85095.86493319669</v>
      </c>
      <c r="U29" s="37"/>
      <c r="X29" s="37"/>
      <c r="Z29" s="37"/>
      <c r="AA29" s="28"/>
      <c r="AE29" s="4"/>
      <c r="AF29" s="4"/>
      <c r="AG29" s="4"/>
      <c r="AH29" s="4"/>
      <c r="AI29" s="4"/>
      <c r="AJ29" s="4"/>
    </row>
    <row r="30" spans="1:36" s="3" customFormat="1" ht="15">
      <c r="A30" s="1"/>
      <c r="B30" s="33" t="s">
        <v>46</v>
      </c>
      <c r="C30" s="1"/>
      <c r="D30" s="35">
        <v>2114280</v>
      </c>
      <c r="E30" s="35"/>
      <c r="F30" s="35"/>
      <c r="G30" s="37">
        <f t="shared" si="2"/>
        <v>2114280</v>
      </c>
      <c r="H30" s="35"/>
      <c r="I30" s="37">
        <f t="shared" si="3"/>
        <v>27953.615437147975</v>
      </c>
      <c r="J30" s="48"/>
      <c r="K30" s="37"/>
      <c r="M30" s="37"/>
      <c r="N30" s="37"/>
      <c r="O30" s="49"/>
      <c r="P30" s="40"/>
      <c r="Q30" s="24"/>
      <c r="R30" s="24"/>
      <c r="S30" s="49"/>
      <c r="T30" s="37">
        <f>I30</f>
        <v>27953.615437147975</v>
      </c>
      <c r="U30" s="37"/>
      <c r="X30" s="37"/>
      <c r="Z30" s="37"/>
      <c r="AA30" s="28"/>
      <c r="AE30" s="4"/>
      <c r="AF30" s="4"/>
      <c r="AG30" s="4"/>
      <c r="AH30" s="4"/>
      <c r="AI30" s="4"/>
      <c r="AJ30" s="4"/>
    </row>
    <row r="31" spans="1:36" s="3" customFormat="1" ht="15.75">
      <c r="A31" s="1"/>
      <c r="B31" s="33" t="s">
        <v>115</v>
      </c>
      <c r="C31" s="99"/>
      <c r="D31" s="35">
        <v>26478674</v>
      </c>
      <c r="E31" s="35"/>
      <c r="F31" s="35"/>
      <c r="G31" s="37">
        <f t="shared" si="2"/>
        <v>26478674</v>
      </c>
      <c r="H31" s="35"/>
      <c r="I31" s="37">
        <f t="shared" si="3"/>
        <v>350083.5604941677</v>
      </c>
      <c r="J31" s="37"/>
      <c r="K31" s="37"/>
      <c r="M31" s="37"/>
      <c r="N31" s="37"/>
      <c r="O31" s="49"/>
      <c r="P31" s="50"/>
      <c r="Q31" s="24">
        <f>I31</f>
        <v>350083.5604941677</v>
      </c>
      <c r="R31" s="37"/>
      <c r="S31" s="37"/>
      <c r="T31" s="37"/>
      <c r="X31" s="37"/>
      <c r="Z31" s="37"/>
      <c r="AA31" s="28"/>
      <c r="AE31" s="4"/>
      <c r="AF31" s="4"/>
      <c r="AG31" s="4"/>
      <c r="AH31" s="4"/>
      <c r="AI31" s="4"/>
      <c r="AJ31" s="4"/>
    </row>
    <row r="32" spans="2:27" ht="15">
      <c r="B32" s="33" t="s">
        <v>49</v>
      </c>
      <c r="D32" s="35">
        <v>10888181</v>
      </c>
      <c r="E32" s="35"/>
      <c r="F32" s="35"/>
      <c r="G32" s="37">
        <f t="shared" si="2"/>
        <v>10888181</v>
      </c>
      <c r="H32" s="35"/>
      <c r="I32" s="37">
        <f t="shared" si="3"/>
        <v>143956.34659745224</v>
      </c>
      <c r="J32" s="37"/>
      <c r="K32" s="37"/>
      <c r="M32" s="37"/>
      <c r="N32" s="37"/>
      <c r="O32" s="49"/>
      <c r="P32" s="50"/>
      <c r="Q32" s="24">
        <f>I32</f>
        <v>143956.34659745224</v>
      </c>
      <c r="R32" s="37"/>
      <c r="S32" s="37"/>
      <c r="T32" s="37"/>
      <c r="X32" s="37"/>
      <c r="Z32" s="37"/>
      <c r="AA32" s="28"/>
    </row>
    <row r="33" spans="2:27" ht="15.75">
      <c r="B33" s="33" t="s">
        <v>50</v>
      </c>
      <c r="C33" s="99"/>
      <c r="D33" s="35">
        <v>6018364</v>
      </c>
      <c r="E33" s="35"/>
      <c r="F33" s="35"/>
      <c r="G33" s="37">
        <f t="shared" si="2"/>
        <v>6018364</v>
      </c>
      <c r="H33" s="35"/>
      <c r="I33" s="37">
        <f t="shared" si="3"/>
        <v>79570.83868587682</v>
      </c>
      <c r="J33" s="37"/>
      <c r="K33" s="37"/>
      <c r="M33" s="37"/>
      <c r="N33" s="37"/>
      <c r="O33" s="49"/>
      <c r="P33" s="50"/>
      <c r="Q33" s="24">
        <f>I33</f>
        <v>79570.83868587682</v>
      </c>
      <c r="R33" s="37"/>
      <c r="X33" s="37"/>
      <c r="Z33" s="37"/>
      <c r="AA33" s="28"/>
    </row>
    <row r="34" spans="2:28" ht="15">
      <c r="B34" s="33" t="s">
        <v>52</v>
      </c>
      <c r="D34" s="35">
        <v>2608744</v>
      </c>
      <c r="E34" s="35"/>
      <c r="F34" s="35"/>
      <c r="G34" s="37">
        <f t="shared" si="2"/>
        <v>2608744</v>
      </c>
      <c r="H34" s="35"/>
      <c r="I34" s="37">
        <f t="shared" si="3"/>
        <v>34491.09226307167</v>
      </c>
      <c r="J34" s="37"/>
      <c r="K34" s="37"/>
      <c r="M34" s="37"/>
      <c r="N34" s="37"/>
      <c r="O34" s="49"/>
      <c r="P34" s="50"/>
      <c r="Q34" s="24">
        <f>I34</f>
        <v>34491.09226307167</v>
      </c>
      <c r="R34" s="37"/>
      <c r="S34" s="37"/>
      <c r="T34" s="37"/>
      <c r="W34" s="37"/>
      <c r="X34" s="37"/>
      <c r="Z34" s="37"/>
      <c r="AA34" s="28"/>
      <c r="AB34" s="28"/>
    </row>
    <row r="35" spans="2:28" ht="15">
      <c r="B35" s="33" t="s">
        <v>37</v>
      </c>
      <c r="C35" s="51"/>
      <c r="D35" s="52">
        <f>SUM(D25:D34)</f>
        <v>1072177370</v>
      </c>
      <c r="E35" s="35"/>
      <c r="F35" s="52">
        <f>SUM(F25:F34)</f>
        <v>0</v>
      </c>
      <c r="G35" s="52">
        <f>SUM(G25:G34)</f>
        <v>1072177370</v>
      </c>
      <c r="H35" s="35"/>
      <c r="I35" s="35"/>
      <c r="J35" s="35"/>
      <c r="K35" s="35"/>
      <c r="M35" s="35"/>
      <c r="N35" s="35"/>
      <c r="O35" s="10"/>
      <c r="P35" s="40"/>
      <c r="Q35" s="37"/>
      <c r="R35" s="37"/>
      <c r="S35" s="27"/>
      <c r="T35" s="53"/>
      <c r="V35" s="35"/>
      <c r="W35" s="35"/>
      <c r="X35" s="37"/>
      <c r="Z35" s="37"/>
      <c r="AA35" s="28"/>
      <c r="AB35" s="28"/>
    </row>
    <row r="36" spans="2:28" ht="15">
      <c r="B36" s="33" t="s">
        <v>38</v>
      </c>
      <c r="C36" s="51"/>
      <c r="D36" s="39">
        <f>D20</f>
        <v>-0.013221340332003319</v>
      </c>
      <c r="E36" s="35"/>
      <c r="F36" s="39">
        <f>F20</f>
        <v>-0.013221340332003319</v>
      </c>
      <c r="G36" s="39">
        <f>G20</f>
        <v>-0.013221340332003319</v>
      </c>
      <c r="H36" s="35"/>
      <c r="I36" s="35"/>
      <c r="J36" s="35"/>
      <c r="K36" s="35"/>
      <c r="M36" s="35"/>
      <c r="N36" s="35"/>
      <c r="O36" s="10"/>
      <c r="P36" s="40"/>
      <c r="Q36" s="24"/>
      <c r="R36" s="24"/>
      <c r="S36" s="24"/>
      <c r="T36" s="35"/>
      <c r="V36" s="35"/>
      <c r="W36" s="35"/>
      <c r="X36" s="37"/>
      <c r="Z36" s="37"/>
      <c r="AA36" s="28"/>
      <c r="AB36" s="54"/>
    </row>
    <row r="37" spans="2:28" ht="15">
      <c r="B37" s="41" t="s">
        <v>53</v>
      </c>
      <c r="C37" s="43" t="s">
        <v>54</v>
      </c>
      <c r="D37" s="42">
        <f>D35*D36</f>
        <v>-14175621.905042246</v>
      </c>
      <c r="E37" s="35"/>
      <c r="F37" s="42">
        <f>F35*F36</f>
        <v>0</v>
      </c>
      <c r="G37" s="42">
        <f>G35*G36</f>
        <v>-14175621.905042246</v>
      </c>
      <c r="H37" s="35"/>
      <c r="I37" s="107">
        <f>SUM(I25:I34)</f>
        <v>14175621.905042246</v>
      </c>
      <c r="J37" s="35"/>
      <c r="K37" s="35"/>
      <c r="M37" s="35"/>
      <c r="N37" s="35"/>
      <c r="O37" s="10"/>
      <c r="P37" s="40"/>
      <c r="Q37" s="24"/>
      <c r="R37" s="24"/>
      <c r="S37" s="24"/>
      <c r="T37" s="35"/>
      <c r="V37" s="35"/>
      <c r="W37" s="35"/>
      <c r="X37" s="35"/>
      <c r="Z37" s="37"/>
      <c r="AA37" s="28"/>
      <c r="AB37" s="54"/>
    </row>
    <row r="38" spans="2:30" ht="15">
      <c r="B38" s="33" t="s">
        <v>2</v>
      </c>
      <c r="C38" s="51"/>
      <c r="D38" s="100" t="str">
        <f>IF(D37&gt;0,"ADIT Benefit","ADIT Incr")</f>
        <v>ADIT Incr</v>
      </c>
      <c r="E38" s="55"/>
      <c r="F38" s="10" t="str">
        <f>IF(F37&gt;0,"ADIT Benefit","ADIT Incr")</f>
        <v>ADIT Incr</v>
      </c>
      <c r="G38" s="10" t="str">
        <f>IF(G37&gt;0,"ADIT Benefit","ADIT Incr")</f>
        <v>ADIT Incr</v>
      </c>
      <c r="H38" s="55"/>
      <c r="I38" s="108" t="str">
        <f>D39</f>
        <v>Reg Tax ASSET</v>
      </c>
      <c r="J38" s="45"/>
      <c r="K38" s="45"/>
      <c r="M38" s="45"/>
      <c r="N38" s="45"/>
      <c r="O38" s="45"/>
      <c r="P38" s="46"/>
      <c r="Q38" s="24"/>
      <c r="R38" s="24"/>
      <c r="S38" s="24"/>
      <c r="T38" s="45"/>
      <c r="V38" s="45"/>
      <c r="W38" s="45"/>
      <c r="X38" s="45"/>
      <c r="Z38" s="37"/>
      <c r="AA38" s="28"/>
      <c r="AD38" s="56"/>
    </row>
    <row r="39" spans="2:30" ht="15">
      <c r="B39" s="33"/>
      <c r="C39" s="51"/>
      <c r="D39" s="102" t="str">
        <f>IF(D37&lt;0,"Reg Tax ASSET","Reg Tax LIAB")</f>
        <v>Reg Tax ASSET</v>
      </c>
      <c r="E39" s="55"/>
      <c r="F39" s="55"/>
      <c r="G39" s="55"/>
      <c r="H39" s="55"/>
      <c r="I39" s="55"/>
      <c r="J39" s="55"/>
      <c r="K39" s="55"/>
      <c r="M39" s="55"/>
      <c r="N39" s="55"/>
      <c r="O39" s="45"/>
      <c r="P39" s="57"/>
      <c r="Q39" s="24"/>
      <c r="R39" s="24"/>
      <c r="S39" s="55"/>
      <c r="T39" s="55"/>
      <c r="V39" s="55"/>
      <c r="W39" s="55"/>
      <c r="X39" s="55"/>
      <c r="Z39" s="37"/>
      <c r="AA39" s="28"/>
      <c r="AB39" s="58"/>
      <c r="AD39" s="58"/>
    </row>
    <row r="40" spans="2:30" ht="15">
      <c r="B40" s="33"/>
      <c r="C40" s="51"/>
      <c r="D40" s="35"/>
      <c r="E40" s="35"/>
      <c r="F40" s="35"/>
      <c r="G40" s="35"/>
      <c r="H40" s="35"/>
      <c r="I40" s="35"/>
      <c r="J40" s="35"/>
      <c r="K40" s="35"/>
      <c r="M40" s="35"/>
      <c r="N40" s="35"/>
      <c r="O40" s="10"/>
      <c r="P40" s="40"/>
      <c r="Q40" s="24"/>
      <c r="R40" s="24"/>
      <c r="S40" s="35"/>
      <c r="T40" s="35"/>
      <c r="V40" s="35"/>
      <c r="W40" s="35"/>
      <c r="X40" s="35"/>
      <c r="Z40" s="35"/>
      <c r="AA40" s="54"/>
      <c r="AB40" s="54"/>
      <c r="AD40" s="54"/>
    </row>
    <row r="41" spans="2:30" ht="15.75">
      <c r="B41" s="59" t="s">
        <v>56</v>
      </c>
      <c r="C41" s="10"/>
      <c r="D41" s="42">
        <f>D35+D19</f>
        <v>-5636789938</v>
      </c>
      <c r="E41" s="35"/>
      <c r="F41" s="42">
        <f>F35+F19</f>
        <v>0</v>
      </c>
      <c r="G41" s="42">
        <f>G35+G19</f>
        <v>-5636789938</v>
      </c>
      <c r="H41" s="35"/>
      <c r="I41" s="35"/>
      <c r="J41" s="35"/>
      <c r="K41" s="35"/>
      <c r="M41" s="35"/>
      <c r="N41" s="35"/>
      <c r="O41" s="10"/>
      <c r="P41" s="40"/>
      <c r="Q41" s="24"/>
      <c r="R41" s="24"/>
      <c r="S41" s="35"/>
      <c r="T41" s="35"/>
      <c r="U41" s="35"/>
      <c r="V41" s="35"/>
      <c r="W41" s="35"/>
      <c r="X41" s="35"/>
      <c r="Z41" s="35"/>
      <c r="AA41" s="54"/>
      <c r="AB41" s="54"/>
      <c r="AD41" s="54"/>
    </row>
    <row r="42" spans="2:30" ht="15">
      <c r="B42" s="33" t="s">
        <v>38</v>
      </c>
      <c r="C42" s="51"/>
      <c r="D42" s="39">
        <f>D36</f>
        <v>-0.013221340332003319</v>
      </c>
      <c r="E42" s="33"/>
      <c r="F42" s="39">
        <f>F36</f>
        <v>-0.013221340332003319</v>
      </c>
      <c r="G42" s="39">
        <f>G36</f>
        <v>-0.013221340332003319</v>
      </c>
      <c r="H42" s="33"/>
      <c r="I42" s="33"/>
      <c r="J42" s="33"/>
      <c r="K42" s="33"/>
      <c r="M42" s="33"/>
      <c r="N42" s="33"/>
      <c r="O42" s="51"/>
      <c r="P42" s="60"/>
      <c r="Q42" s="24"/>
      <c r="R42" s="24"/>
      <c r="S42" s="33"/>
      <c r="T42" s="33"/>
      <c r="U42" s="33"/>
      <c r="V42" s="33"/>
      <c r="W42" s="33"/>
      <c r="X42" s="33"/>
      <c r="Z42" s="33"/>
      <c r="AA42" s="4"/>
      <c r="AB42" s="4"/>
      <c r="AD42" s="4"/>
    </row>
    <row r="43" spans="2:26" ht="15">
      <c r="B43" s="61" t="s">
        <v>57</v>
      </c>
      <c r="C43" s="51"/>
      <c r="D43" s="42">
        <f>+D41*D42</f>
        <v>74525918.15030989</v>
      </c>
      <c r="E43" s="35" t="s">
        <v>2</v>
      </c>
      <c r="F43" s="42">
        <f>+F41*F42</f>
        <v>0</v>
      </c>
      <c r="G43" s="42">
        <f>+G41*G42</f>
        <v>74525918.15030989</v>
      </c>
      <c r="H43" s="35"/>
      <c r="I43" s="35"/>
      <c r="J43" s="35"/>
      <c r="K43" s="35"/>
      <c r="M43" s="35"/>
      <c r="N43" s="35"/>
      <c r="O43" s="10"/>
      <c r="P43" s="40"/>
      <c r="Q43" s="35"/>
      <c r="R43" s="35"/>
      <c r="S43" s="35"/>
      <c r="T43" s="35"/>
      <c r="U43" s="35"/>
      <c r="V43" s="35"/>
      <c r="W43" s="35"/>
      <c r="X43" s="35"/>
      <c r="Z43" s="35"/>
    </row>
    <row r="44" spans="2:26" ht="15">
      <c r="B44" s="61" t="s">
        <v>59</v>
      </c>
      <c r="C44" s="51"/>
      <c r="D44" s="100" t="str">
        <f>IF(D43&gt;0,"ADIT Benefit","ADIT Incr")</f>
        <v>ADIT Benefit</v>
      </c>
      <c r="E44" s="35"/>
      <c r="F44" s="35"/>
      <c r="G44" s="35"/>
      <c r="H44" s="35"/>
      <c r="I44" s="35"/>
      <c r="J44" s="35"/>
      <c r="K44" s="35"/>
      <c r="M44" s="35"/>
      <c r="N44" s="35"/>
      <c r="O44" s="10"/>
      <c r="P44" s="40"/>
      <c r="Q44" s="35"/>
      <c r="R44" s="35"/>
      <c r="S44" s="35"/>
      <c r="T44" s="35"/>
      <c r="U44" s="35"/>
      <c r="V44" s="35"/>
      <c r="W44" s="35"/>
      <c r="X44" s="35"/>
      <c r="Z44" s="35"/>
    </row>
    <row r="45" spans="2:26" ht="15">
      <c r="B45" s="33"/>
      <c r="C45" s="51"/>
      <c r="D45" s="102"/>
      <c r="E45" s="35"/>
      <c r="F45" s="35"/>
      <c r="G45" s="35"/>
      <c r="H45" s="35"/>
      <c r="I45" s="35"/>
      <c r="J45" s="35"/>
      <c r="K45" s="35"/>
      <c r="M45" s="35"/>
      <c r="N45" s="35"/>
      <c r="O45" s="10"/>
      <c r="P45" s="40"/>
      <c r="Q45" s="35"/>
      <c r="R45" s="35"/>
      <c r="S45" s="35"/>
      <c r="T45" s="35"/>
      <c r="U45" s="35"/>
      <c r="V45" s="35"/>
      <c r="W45" s="35"/>
      <c r="X45" s="35"/>
      <c r="Z45" s="35"/>
    </row>
    <row r="46" spans="1:26" ht="15.75">
      <c r="A46" s="62" t="s">
        <v>60</v>
      </c>
      <c r="B46" s="33"/>
      <c r="C46" s="51"/>
      <c r="D46" s="10" t="s">
        <v>2</v>
      </c>
      <c r="E46" s="35"/>
      <c r="F46" s="35"/>
      <c r="G46" s="35"/>
      <c r="H46" s="35"/>
      <c r="I46" s="35"/>
      <c r="J46" s="35"/>
      <c r="K46" s="35"/>
      <c r="M46" s="35"/>
      <c r="N46" s="35"/>
      <c r="O46" s="10"/>
      <c r="P46" s="40"/>
      <c r="Q46" s="35"/>
      <c r="R46" s="35"/>
      <c r="S46" s="35"/>
      <c r="T46" s="35"/>
      <c r="U46" s="35"/>
      <c r="V46" s="35"/>
      <c r="W46" s="35"/>
      <c r="X46" s="35"/>
      <c r="Z46" s="35"/>
    </row>
    <row r="47" spans="2:26" ht="15.75">
      <c r="B47" s="63"/>
      <c r="C47" s="51"/>
      <c r="D47" s="10" t="s">
        <v>24</v>
      </c>
      <c r="E47" s="35"/>
      <c r="F47" s="35"/>
      <c r="G47" s="35"/>
      <c r="H47" s="35"/>
      <c r="I47" s="35"/>
      <c r="J47" s="35"/>
      <c r="K47" s="35"/>
      <c r="M47" s="35"/>
      <c r="N47" s="35"/>
      <c r="O47" s="10"/>
      <c r="P47" s="40"/>
      <c r="Q47" s="35"/>
      <c r="R47" s="35"/>
      <c r="S47" s="35"/>
      <c r="T47" s="35"/>
      <c r="U47" s="35"/>
      <c r="V47" s="35"/>
      <c r="W47" s="35"/>
      <c r="X47" s="35"/>
      <c r="Z47" s="35"/>
    </row>
    <row r="48" spans="2:26" ht="15">
      <c r="B48" s="47" t="s">
        <v>61</v>
      </c>
      <c r="C48" s="51"/>
      <c r="D48" s="10"/>
      <c r="E48" s="35"/>
      <c r="F48" s="35"/>
      <c r="G48" s="35"/>
      <c r="H48" s="35"/>
      <c r="I48" s="35"/>
      <c r="J48" s="35"/>
      <c r="K48" s="35"/>
      <c r="M48" s="35"/>
      <c r="N48" s="35"/>
      <c r="O48" s="10"/>
      <c r="P48" s="40"/>
      <c r="Q48" s="35"/>
      <c r="R48" s="35"/>
      <c r="S48" s="35"/>
      <c r="T48" s="35"/>
      <c r="U48" s="35"/>
      <c r="V48" s="35"/>
      <c r="W48" s="35"/>
      <c r="X48" s="35"/>
      <c r="Z48" s="35"/>
    </row>
    <row r="49" spans="2:30" ht="15">
      <c r="B49" s="33" t="s">
        <v>62</v>
      </c>
      <c r="C49" s="51" t="s">
        <v>2</v>
      </c>
      <c r="D49" s="35">
        <v>32506779</v>
      </c>
      <c r="E49" s="35" t="s">
        <v>116</v>
      </c>
      <c r="F49" s="35"/>
      <c r="G49" s="35">
        <f>SUM(D49:F49)</f>
        <v>32506779</v>
      </c>
      <c r="H49" s="35"/>
      <c r="I49" s="45" t="s">
        <v>117</v>
      </c>
      <c r="J49" s="35"/>
      <c r="K49" s="35"/>
      <c r="M49" s="35"/>
      <c r="N49" s="35"/>
      <c r="O49" s="10"/>
      <c r="P49" s="40"/>
      <c r="Q49" s="35" t="s">
        <v>2</v>
      </c>
      <c r="R49" s="35"/>
      <c r="S49" s="35"/>
      <c r="T49" s="35"/>
      <c r="U49" s="35"/>
      <c r="V49" s="35"/>
      <c r="W49" s="35"/>
      <c r="X49" s="35"/>
      <c r="Z49" s="35"/>
      <c r="AA49" s="54"/>
      <c r="AB49" s="54"/>
      <c r="AD49" s="54"/>
    </row>
    <row r="50" spans="2:30" ht="15">
      <c r="B50" s="33" t="s">
        <v>63</v>
      </c>
      <c r="C50" s="109" t="s">
        <v>2</v>
      </c>
      <c r="D50" s="39">
        <v>-0.014181995700035368</v>
      </c>
      <c r="E50" s="35"/>
      <c r="F50" s="39">
        <f>D50</f>
        <v>-0.014181995700035368</v>
      </c>
      <c r="G50" s="39">
        <f>D50</f>
        <v>-0.014181995700035368</v>
      </c>
      <c r="H50" s="35"/>
      <c r="I50" s="35"/>
      <c r="J50" s="35"/>
      <c r="K50" s="35"/>
      <c r="M50" s="35"/>
      <c r="N50" s="35"/>
      <c r="O50" s="10"/>
      <c r="P50" s="40"/>
      <c r="Q50" s="35"/>
      <c r="R50" s="35"/>
      <c r="S50" s="35"/>
      <c r="T50" s="35"/>
      <c r="U50" s="35"/>
      <c r="V50" s="35"/>
      <c r="W50" s="35"/>
      <c r="X50" s="35"/>
      <c r="Z50" s="35"/>
      <c r="AA50" s="54"/>
      <c r="AB50" s="54"/>
      <c r="AD50" s="54"/>
    </row>
    <row r="51" spans="2:30" ht="15">
      <c r="B51" s="64" t="s">
        <v>64</v>
      </c>
      <c r="D51" s="42">
        <f>+D49*D50</f>
        <v>-461011</v>
      </c>
      <c r="E51" s="43" t="s">
        <v>40</v>
      </c>
      <c r="F51" s="42">
        <f>+F49*F50</f>
        <v>0</v>
      </c>
      <c r="G51" s="42">
        <f>+G49*G50</f>
        <v>-461011</v>
      </c>
      <c r="H51" s="35"/>
      <c r="I51" s="80">
        <f>-G51</f>
        <v>461011</v>
      </c>
      <c r="J51" s="55"/>
      <c r="K51" s="35"/>
      <c r="M51" s="35"/>
      <c r="N51" s="35"/>
      <c r="O51" s="29"/>
      <c r="P51" s="57"/>
      <c r="Q51" s="3">
        <f>$I51*0.976</f>
        <v>449946.736</v>
      </c>
      <c r="R51" s="35">
        <f>I51-Q51</f>
        <v>11064.264000000025</v>
      </c>
      <c r="S51" s="55"/>
      <c r="T51" s="55"/>
      <c r="U51" s="55"/>
      <c r="V51" s="35"/>
      <c r="W51" s="35"/>
      <c r="X51" s="35"/>
      <c r="Z51" s="35"/>
      <c r="AD51" s="58"/>
    </row>
    <row r="52" spans="2:30" ht="15">
      <c r="B52" s="55" t="s">
        <v>2</v>
      </c>
      <c r="C52" s="43" t="s">
        <v>2</v>
      </c>
      <c r="D52" s="33"/>
      <c r="E52" s="35"/>
      <c r="F52" s="35"/>
      <c r="G52" s="35"/>
      <c r="H52" s="35"/>
      <c r="I52" s="108" t="s">
        <v>55</v>
      </c>
      <c r="J52" s="55"/>
      <c r="L52" s="110"/>
      <c r="M52" s="55"/>
      <c r="N52" s="55"/>
      <c r="O52" s="27"/>
      <c r="P52" s="57"/>
      <c r="Q52" s="110"/>
      <c r="R52" s="55"/>
      <c r="S52" s="55"/>
      <c r="T52" s="55"/>
      <c r="U52" s="55"/>
      <c r="V52" s="35"/>
      <c r="W52" s="35"/>
      <c r="X52" s="35"/>
      <c r="Z52" s="35"/>
      <c r="AA52" s="54"/>
      <c r="AB52" s="54"/>
      <c r="AD52" s="58"/>
    </row>
    <row r="53" spans="2:30" ht="15">
      <c r="B53" s="33"/>
      <c r="C53" s="51"/>
      <c r="D53" s="33"/>
      <c r="E53" s="33"/>
      <c r="F53" s="33"/>
      <c r="G53" s="33"/>
      <c r="H53" s="33"/>
      <c r="I53" s="35"/>
      <c r="J53" s="55"/>
      <c r="K53" s="55"/>
      <c r="L53" s="55"/>
      <c r="M53" s="55"/>
      <c r="N53" s="55"/>
      <c r="O53" s="55"/>
      <c r="P53" s="40"/>
      <c r="R53" s="35"/>
      <c r="S53" s="35"/>
      <c r="U53" s="55"/>
      <c r="V53" s="35"/>
      <c r="W53" s="35"/>
      <c r="X53" s="35"/>
      <c r="Z53" s="35"/>
      <c r="AD53" s="58"/>
    </row>
    <row r="54" spans="2:30" ht="15">
      <c r="B54" s="33" t="s">
        <v>67</v>
      </c>
      <c r="C54" s="51"/>
      <c r="D54" s="35">
        <v>-490</v>
      </c>
      <c r="E54" s="33"/>
      <c r="F54" s="33"/>
      <c r="G54" s="35">
        <f>SUM(D54:F54)</f>
        <v>-490</v>
      </c>
      <c r="H54" s="33"/>
      <c r="I54" s="80">
        <f>-G54</f>
        <v>490</v>
      </c>
      <c r="J54" s="55"/>
      <c r="K54" s="55"/>
      <c r="L54" s="35"/>
      <c r="N54" s="35"/>
      <c r="O54" s="35"/>
      <c r="P54" s="40"/>
      <c r="Q54" s="3">
        <f>I54</f>
        <v>490</v>
      </c>
      <c r="R54" s="35"/>
      <c r="S54" s="35"/>
      <c r="U54" s="55"/>
      <c r="V54" s="35"/>
      <c r="W54" s="35"/>
      <c r="X54" s="35"/>
      <c r="Z54" s="35"/>
      <c r="AA54" s="54"/>
      <c r="AB54" s="54"/>
      <c r="AD54" s="58"/>
    </row>
    <row r="55" spans="2:28" ht="15">
      <c r="B55" s="33"/>
      <c r="C55" s="51"/>
      <c r="D55" s="35"/>
      <c r="E55" s="35"/>
      <c r="F55" s="35"/>
      <c r="G55" s="35"/>
      <c r="H55" s="35"/>
      <c r="I55" s="108" t="s">
        <v>55</v>
      </c>
      <c r="J55" s="35"/>
      <c r="K55" s="35"/>
      <c r="L55" s="35"/>
      <c r="M55" s="35"/>
      <c r="N55" s="35"/>
      <c r="O55" s="35"/>
      <c r="P55" s="40"/>
      <c r="R55" s="35"/>
      <c r="S55" s="35"/>
      <c r="U55" s="35"/>
      <c r="V55" s="35"/>
      <c r="W55" s="35"/>
      <c r="X55" s="35"/>
      <c r="Z55" s="35"/>
      <c r="AA55" s="54"/>
      <c r="AB55" s="54"/>
    </row>
    <row r="56" spans="2:26" ht="15.75" thickBot="1">
      <c r="B56" s="61" t="s">
        <v>68</v>
      </c>
      <c r="C56" s="10" t="s">
        <v>69</v>
      </c>
      <c r="D56" s="44">
        <f>+D51+D43+D54</f>
        <v>74064417.15030989</v>
      </c>
      <c r="E56" s="35"/>
      <c r="F56" s="44">
        <f>+F51+F43+F54</f>
        <v>0</v>
      </c>
      <c r="G56" s="44">
        <f>+G51+G43+G54</f>
        <v>74064417.15030989</v>
      </c>
      <c r="H56" s="35"/>
      <c r="I56" s="44">
        <f>I54+I51+I37+I21</f>
        <v>-74064417.15030989</v>
      </c>
      <c r="J56" s="35"/>
      <c r="K56" s="44">
        <f aca="true" t="shared" si="4" ref="K56:T56">SUM(K7:K55)</f>
        <v>0</v>
      </c>
      <c r="L56" s="44">
        <f t="shared" si="4"/>
        <v>-2231873.602979302</v>
      </c>
      <c r="M56" s="44">
        <f t="shared" si="4"/>
        <v>-38593.061177571115</v>
      </c>
      <c r="N56" s="44">
        <f t="shared" si="4"/>
        <v>-84582282.77450179</v>
      </c>
      <c r="O56" s="44">
        <f t="shared" si="4"/>
        <v>-1848790.6166934748</v>
      </c>
      <c r="P56" s="67">
        <f t="shared" si="4"/>
        <v>0</v>
      </c>
      <c r="Q56" s="44">
        <f t="shared" si="4"/>
        <v>13722885.309313286</v>
      </c>
      <c r="R56" s="44">
        <f t="shared" si="4"/>
        <v>11064.264000000025</v>
      </c>
      <c r="S56" s="44">
        <f t="shared" si="4"/>
        <v>0</v>
      </c>
      <c r="T56" s="44">
        <f t="shared" si="4"/>
        <v>903173.3317289588</v>
      </c>
      <c r="U56" s="35">
        <f>SUM(K56:T56)</f>
        <v>-74064417.15030989</v>
      </c>
      <c r="V56" s="35"/>
      <c r="W56" s="35"/>
      <c r="X56" s="35"/>
      <c r="Z56" s="35"/>
    </row>
    <row r="57" spans="2:28" ht="15.75" thickTop="1">
      <c r="B57" s="68" t="s">
        <v>2</v>
      </c>
      <c r="C57" s="51"/>
      <c r="D57" s="10" t="str">
        <f>IF(D56&gt;0,"Net ADIT Benefit","ADIT Incr")</f>
        <v>Net ADIT Benefit</v>
      </c>
      <c r="E57" s="35"/>
      <c r="F57" s="35" t="s">
        <v>2</v>
      </c>
      <c r="G57" s="10" t="str">
        <f>IF(G56&gt;0,"Net ADIT Benefit","ADIT Incr")</f>
        <v>Net ADIT Benefit</v>
      </c>
      <c r="H57" s="35"/>
      <c r="I57" s="35" t="s">
        <v>118</v>
      </c>
      <c r="J57" s="35"/>
      <c r="K57" s="35"/>
      <c r="L57" s="27">
        <f>+L56/$I56</f>
        <v>0.03013422219268708</v>
      </c>
      <c r="M57" s="111">
        <f aca="true" t="shared" si="5" ref="M57:T57">+M56/$I56</f>
        <v>0.0005210742575513489</v>
      </c>
      <c r="N57" s="27">
        <f t="shared" si="5"/>
        <v>1.1420096995139573</v>
      </c>
      <c r="O57" s="27">
        <f t="shared" si="5"/>
        <v>0.024961927573688324</v>
      </c>
      <c r="P57" s="27">
        <f t="shared" si="5"/>
        <v>0</v>
      </c>
      <c r="Q57" s="27">
        <f t="shared" si="5"/>
        <v>-0.1852831067510246</v>
      </c>
      <c r="R57" s="112">
        <f t="shared" si="5"/>
        <v>-0.0001493870393598815</v>
      </c>
      <c r="S57" s="27">
        <f t="shared" si="5"/>
        <v>0</v>
      </c>
      <c r="T57" s="27">
        <f t="shared" si="5"/>
        <v>-0.012194429747499604</v>
      </c>
      <c r="U57" s="35"/>
      <c r="V57" s="35"/>
      <c r="W57" s="35"/>
      <c r="X57" s="35"/>
      <c r="Z57" s="35"/>
      <c r="AA57" s="54"/>
      <c r="AB57" s="54"/>
    </row>
    <row r="58" spans="3:28" ht="15">
      <c r="C58" s="113"/>
      <c r="D58" s="114"/>
      <c r="F58" s="103"/>
      <c r="I58" s="35"/>
      <c r="J58" s="35"/>
      <c r="K58" s="130" t="s">
        <v>119</v>
      </c>
      <c r="L58" s="130"/>
      <c r="M58" s="130"/>
      <c r="N58" s="130"/>
      <c r="O58" s="130"/>
      <c r="P58" s="130"/>
      <c r="Q58" s="130"/>
      <c r="R58" s="130"/>
      <c r="S58" s="130"/>
      <c r="T58" s="130"/>
      <c r="U58" s="35">
        <f>SUM(U56:U57)</f>
        <v>-74064417.15030989</v>
      </c>
      <c r="V58" s="35" t="s">
        <v>2</v>
      </c>
      <c r="W58" s="35"/>
      <c r="X58" s="35"/>
      <c r="Z58" s="35"/>
      <c r="AA58" s="54"/>
      <c r="AB58" s="54"/>
    </row>
    <row r="59" spans="3:30" ht="15.75" thickBot="1">
      <c r="C59" s="113"/>
      <c r="D59" s="114"/>
      <c r="G59" s="3" t="s">
        <v>120</v>
      </c>
      <c r="I59" s="115">
        <f>I54+I51+I37</f>
        <v>14637122.905042246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3:30" ht="15.75" thickTop="1">
      <c r="C60" s="113"/>
      <c r="D60" s="114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2:30" ht="15">
      <c r="B61" s="33"/>
      <c r="C61" s="51"/>
      <c r="D61" s="10"/>
      <c r="E61" s="35"/>
      <c r="F61" s="35"/>
      <c r="G61" s="35">
        <f>F61/0.13</f>
        <v>0</v>
      </c>
      <c r="H61" s="35"/>
      <c r="I61" s="71" t="s">
        <v>2</v>
      </c>
      <c r="J61" s="71"/>
      <c r="K61" s="71" t="s">
        <v>2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35"/>
      <c r="AB61" s="35"/>
      <c r="AC61" s="35"/>
      <c r="AD61" s="35"/>
    </row>
    <row r="62" spans="1:36" s="3" customFormat="1" ht="15">
      <c r="A62" s="1"/>
      <c r="B62" s="4"/>
      <c r="C62" s="1"/>
      <c r="AE62" s="4"/>
      <c r="AF62" s="4"/>
      <c r="AG62" s="4"/>
      <c r="AH62" s="4"/>
      <c r="AI62" s="4"/>
      <c r="AJ62" s="4"/>
    </row>
    <row r="63" spans="1:36" s="3" customFormat="1" ht="15">
      <c r="A63" s="1"/>
      <c r="B63" s="4"/>
      <c r="C63" s="1"/>
      <c r="AE63" s="4"/>
      <c r="AF63" s="4"/>
      <c r="AG63" s="4"/>
      <c r="AH63" s="4"/>
      <c r="AI63" s="4"/>
      <c r="AJ63" s="4"/>
    </row>
    <row r="64" spans="1:36" s="3" customFormat="1" ht="15">
      <c r="A64" s="1"/>
      <c r="B64" s="4"/>
      <c r="C64" s="1"/>
      <c r="AE64" s="4"/>
      <c r="AF64" s="4"/>
      <c r="AG64" s="4"/>
      <c r="AH64" s="4"/>
      <c r="AI64" s="4"/>
      <c r="AJ64" s="4"/>
    </row>
    <row r="65" spans="1:36" s="3" customFormat="1" ht="15">
      <c r="A65" s="1"/>
      <c r="B65" s="4"/>
      <c r="C65" s="1"/>
      <c r="AE65" s="4"/>
      <c r="AF65" s="4"/>
      <c r="AG65" s="4"/>
      <c r="AH65" s="4"/>
      <c r="AI65" s="4"/>
      <c r="AJ65" s="4"/>
    </row>
    <row r="66" spans="1:36" s="3" customFormat="1" ht="15">
      <c r="A66" s="1"/>
      <c r="B66" s="4"/>
      <c r="C66" s="1"/>
      <c r="AE66" s="4"/>
      <c r="AF66" s="4"/>
      <c r="AG66" s="4"/>
      <c r="AH66" s="4"/>
      <c r="AI66" s="4"/>
      <c r="AJ66" s="4"/>
    </row>
    <row r="67" spans="1:36" s="3" customFormat="1" ht="15">
      <c r="A67" s="1"/>
      <c r="B67" s="4"/>
      <c r="C67" s="1"/>
      <c r="AE67" s="4"/>
      <c r="AF67" s="4"/>
      <c r="AG67" s="4"/>
      <c r="AH67" s="4"/>
      <c r="AI67" s="4"/>
      <c r="AJ67" s="4"/>
    </row>
    <row r="68" spans="1:36" s="3" customFormat="1" ht="15">
      <c r="A68" s="1"/>
      <c r="B68" s="4"/>
      <c r="C68" s="1"/>
      <c r="AE68" s="4"/>
      <c r="AF68" s="4"/>
      <c r="AG68" s="4"/>
      <c r="AH68" s="4"/>
      <c r="AI68" s="4"/>
      <c r="AJ68" s="4"/>
    </row>
    <row r="69" spans="1:36" s="3" customFormat="1" ht="15">
      <c r="A69" s="1"/>
      <c r="B69" s="4"/>
      <c r="C69" s="1"/>
      <c r="AE69" s="4"/>
      <c r="AF69" s="4"/>
      <c r="AG69" s="4"/>
      <c r="AH69" s="4"/>
      <c r="AI69" s="4"/>
      <c r="AJ69" s="4"/>
    </row>
    <row r="70" spans="1:36" s="3" customFormat="1" ht="15">
      <c r="A70" s="1"/>
      <c r="B70" s="4"/>
      <c r="C70" s="1"/>
      <c r="AE70" s="4"/>
      <c r="AF70" s="4"/>
      <c r="AG70" s="4"/>
      <c r="AH70" s="4"/>
      <c r="AI70" s="4"/>
      <c r="AJ70" s="4"/>
    </row>
    <row r="71" spans="1:36" s="3" customFormat="1" ht="15">
      <c r="A71" s="1"/>
      <c r="B71" s="4"/>
      <c r="C71" s="1"/>
      <c r="AE71" s="4"/>
      <c r="AF71" s="4"/>
      <c r="AG71" s="4"/>
      <c r="AH71" s="4"/>
      <c r="AI71" s="4"/>
      <c r="AJ71" s="4"/>
    </row>
    <row r="215" ht="15">
      <c r="F215" s="3">
        <f>C215*('OK Rt Chg Alloc Wksht 2021'!M57+'OK Rt Chg Alloc Wksht 2021'!R57)</f>
        <v>0</v>
      </c>
    </row>
  </sheetData>
  <sheetProtection/>
  <mergeCells count="6">
    <mergeCell ref="K58:T58"/>
    <mergeCell ref="K3:T3"/>
    <mergeCell ref="K4:O4"/>
    <mergeCell ref="P4:T4"/>
    <mergeCell ref="K5:O5"/>
    <mergeCell ref="P5:T5"/>
  </mergeCells>
  <printOptions/>
  <pageMargins left="0.28" right="0.17" top="0.5" bottom="0.36" header="0.3" footer="0.2"/>
  <pageSetup horizontalDpi="600" verticalDpi="600" orientation="landscape" paperSize="5" scale="40" r:id="rId1"/>
  <headerFooter>
    <oddFooter>&amp;C&amp;P&amp;R&amp;Z&amp;F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1900-01-01T05:00:00Z</dcterms:created>
  <dcterms:modified xsi:type="dcterms:W3CDTF">2022-05-31T14:47:39Z</dcterms:modified>
  <cp:category/>
  <cp:version/>
  <cp:contentType/>
  <cp:contentStatus/>
</cp:coreProperties>
</file>